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7 - AFT Fathom 10 - Examples - Hot Water System\"/>
    </mc:Choice>
  </mc:AlternateContent>
  <xr:revisionPtr revIDLastSave="0" documentId="13_ncr:1_{75925B41-9EED-46E6-8A81-499266E3360B}" xr6:coauthVersionLast="46" xr6:coauthVersionMax="47" xr10:uidLastSave="{00000000-0000-0000-0000-000000000000}"/>
  <bookViews>
    <workbookView xWindow="-120" yWindow="-120" windowWidth="29040" windowHeight="15720" activeTab="1" xr2:uid="{E1AC211C-B09E-4BF5-BEBF-10D78511247F}"/>
  </bookViews>
  <sheets>
    <sheet name="Readme" sheetId="7" r:id="rId1"/>
    <sheet name="System" sheetId="5" r:id="rId2"/>
  </sheets>
  <definedNames>
    <definedName name="A_J12">System!$H$64</definedName>
    <definedName name="A_J16">System!$H$65</definedName>
    <definedName name="A_J19">System!$H$66</definedName>
    <definedName name="A_J21">System!$H$67</definedName>
    <definedName name="A_J5">System!$H$62</definedName>
    <definedName name="A_J9">System!$H$63</definedName>
    <definedName name="aa">System!$N$68</definedName>
    <definedName name="C_J12">System!$F$64</definedName>
    <definedName name="C_J16">System!$F$65</definedName>
    <definedName name="C_J19">System!$F$66</definedName>
    <definedName name="C_J21">System!$F$67</definedName>
    <definedName name="C_J5">System!$F$62</definedName>
    <definedName name="C_J9">System!$F$63</definedName>
    <definedName name="Cd">System!$E$16</definedName>
    <definedName name="D_J12">System!$D$64</definedName>
    <definedName name="D_J16">System!$D$65</definedName>
    <definedName name="D_J19">System!$D$66</definedName>
    <definedName name="D_J21">System!$D$67</definedName>
    <definedName name="D_J5">System!$D$62</definedName>
    <definedName name="D_J9">System!$D$63</definedName>
    <definedName name="D_P1">System!$D$35</definedName>
    <definedName name="D_P10">System!$D$44</definedName>
    <definedName name="D_P11">System!$D$45</definedName>
    <definedName name="D_P12">System!$D$46</definedName>
    <definedName name="D_P13">System!$D$47</definedName>
    <definedName name="D_P14">System!$D$48</definedName>
    <definedName name="D_P15">System!$D$49</definedName>
    <definedName name="D_P16">System!$D$50</definedName>
    <definedName name="D_P17">System!$D$51</definedName>
    <definedName name="D_P18">System!$D$52</definedName>
    <definedName name="D_P19">System!$D$53</definedName>
    <definedName name="D_P2">System!$D$36</definedName>
    <definedName name="D_P20">System!$D$54</definedName>
    <definedName name="D_P21">System!$D$55</definedName>
    <definedName name="D_P22">System!$D$56</definedName>
    <definedName name="D_P23">System!$D$57</definedName>
    <definedName name="D_P24">System!$D$58</definedName>
    <definedName name="D_P3">System!$D$37</definedName>
    <definedName name="D_P4">System!$D$38</definedName>
    <definedName name="D_P5">System!$D$39</definedName>
    <definedName name="D_P6">System!$D$40</definedName>
    <definedName name="D_P7">System!$D$41</definedName>
    <definedName name="D_P8">System!$D$42</definedName>
    <definedName name="D_P9">System!$D$43</definedName>
    <definedName name="dP_J12">System!$N$76</definedName>
    <definedName name="dP_J14">System!$N$36</definedName>
    <definedName name="dP_J15">System!$N$44</definedName>
    <definedName name="dP_J16">System!$N$77</definedName>
    <definedName name="dP_J17">System!$N$37</definedName>
    <definedName name="dP_J18">System!$N$45</definedName>
    <definedName name="dP_J19">System!$N$78</definedName>
    <definedName name="dP_J21">System!$N$79</definedName>
    <definedName name="dP_J5">System!$N$74</definedName>
    <definedName name="dP_J9">System!$N$75</definedName>
    <definedName name="dP_P1">System!$N$48</definedName>
    <definedName name="dP_P10">System!$N$57</definedName>
    <definedName name="dP_P11">System!$N$58</definedName>
    <definedName name="dP_P12">System!$N$59</definedName>
    <definedName name="dP_P13">System!$N$60</definedName>
    <definedName name="dP_P14">System!$N$61</definedName>
    <definedName name="dP_P15">System!$N$62</definedName>
    <definedName name="dP_P16">System!$N$63</definedName>
    <definedName name="dP_P17">System!$N$64</definedName>
    <definedName name="dP_P18">System!$N$65</definedName>
    <definedName name="dP_P19">System!$N$66</definedName>
    <definedName name="dP_P2">System!$N$49</definedName>
    <definedName name="dP_P20">System!$N$67</definedName>
    <definedName name="dP_P21">System!$N$68</definedName>
    <definedName name="dP_P22">System!$N$69</definedName>
    <definedName name="dP_P23">System!$N$70</definedName>
    <definedName name="dP_P24">System!$N$71</definedName>
    <definedName name="dP_P3">System!$N$50</definedName>
    <definedName name="dP_P4">System!$N$51</definedName>
    <definedName name="dP_P5">System!$N$52</definedName>
    <definedName name="dP_P6">System!$N$53</definedName>
    <definedName name="dP_P7">System!$N$54</definedName>
    <definedName name="dP_P8">System!$N$55</definedName>
    <definedName name="dP_P9">System!$N$56</definedName>
    <definedName name="e_J12">System!$J$64</definedName>
    <definedName name="e_J16">System!$J$65</definedName>
    <definedName name="e_J19">System!$J$66</definedName>
    <definedName name="e_J21">System!$J$67</definedName>
    <definedName name="e_J5">System!$J$62</definedName>
    <definedName name="e_J9">System!$J$63</definedName>
    <definedName name="e_P1">System!$H$35</definedName>
    <definedName name="e_P10">System!$H$44</definedName>
    <definedName name="e_P11">System!$H$45</definedName>
    <definedName name="e_P12">System!$H$46</definedName>
    <definedName name="e_P13">System!$H$47</definedName>
    <definedName name="e_P14">System!$H$48</definedName>
    <definedName name="e_P15">System!$H$49</definedName>
    <definedName name="e_P16">System!$H$50</definedName>
    <definedName name="e_P17">System!$H$51</definedName>
    <definedName name="e_P18">System!$H$52</definedName>
    <definedName name="e_P19">System!$H$53</definedName>
    <definedName name="e_P2">System!$H$36</definedName>
    <definedName name="e_P20">System!$H$54</definedName>
    <definedName name="e_P21">System!$H$55</definedName>
    <definedName name="e_P22">System!$H$56</definedName>
    <definedName name="e_P23">System!$H$57</definedName>
    <definedName name="e_P24">System!$H$58</definedName>
    <definedName name="e_P3">System!$H$37</definedName>
    <definedName name="e_P4">System!$H$38</definedName>
    <definedName name="e_P5">System!$H$39</definedName>
    <definedName name="e_P6">System!$H$40</definedName>
    <definedName name="e_P7">System!$H$41</definedName>
    <definedName name="e_P8">System!$H$42</definedName>
    <definedName name="e_P9">System!$H$43</definedName>
    <definedName name="H_J1">System!$D$31</definedName>
    <definedName name="H_J10">System!$N$84</definedName>
    <definedName name="H_J4">System!$N$82</definedName>
    <definedName name="H_J7">System!$N$83</definedName>
    <definedName name="K_J1">System!$H$31</definedName>
    <definedName name="K_J14">System!$Y$10</definedName>
    <definedName name="K_J17">System!$Y$11</definedName>
    <definedName name="L_P1">System!$F$35</definedName>
    <definedName name="L_P10">System!$F$44</definedName>
    <definedName name="L_P11">System!$F$45</definedName>
    <definedName name="L_P12">System!$F$46</definedName>
    <definedName name="L_P13">System!$F$47</definedName>
    <definedName name="L_P14">System!$F$48</definedName>
    <definedName name="L_P15">System!$F$49</definedName>
    <definedName name="L_P16">System!$F$50</definedName>
    <definedName name="L_P17">System!$F$51</definedName>
    <definedName name="L_P18">System!$F$52</definedName>
    <definedName name="L_P19">System!$F$53</definedName>
    <definedName name="L_P2">System!$F$36</definedName>
    <definedName name="L_P20">System!$F$54</definedName>
    <definedName name="L_P21">System!$F$55</definedName>
    <definedName name="L_P22">System!$F$56</definedName>
    <definedName name="L_P23">System!$F$57</definedName>
    <definedName name="L_P24">System!$F$58</definedName>
    <definedName name="L_P3">System!$F$37</definedName>
    <definedName name="L_P4">System!$F$38</definedName>
    <definedName name="L_P5">System!$F$39</definedName>
    <definedName name="L_P6">System!$F$40</definedName>
    <definedName name="L_P7">System!$F$41</definedName>
    <definedName name="L_P8">System!$F$42</definedName>
    <definedName name="L_P9">System!$F$43</definedName>
    <definedName name="nu">System!$E$21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P_J1">System!$N$92</definedName>
    <definedName name="P_J10">System!$N$89</definedName>
    <definedName name="P_J4">System!$N$87</definedName>
    <definedName name="P_J7">System!$N$88</definedName>
    <definedName name="P_n1">System!$Y$29</definedName>
    <definedName name="P_n10">System!$Y$38</definedName>
    <definedName name="P_n11">System!$Y$39</definedName>
    <definedName name="P_n12">System!$Y$40</definedName>
    <definedName name="P_n13">System!$Y$41</definedName>
    <definedName name="P_n14">System!$Y$42</definedName>
    <definedName name="P_n15">System!$Y$43</definedName>
    <definedName name="P_n16">System!$Y$44</definedName>
    <definedName name="P_n17">System!$Y$45</definedName>
    <definedName name="P_n18">System!$Y$46</definedName>
    <definedName name="P_n19">System!$Y$47</definedName>
    <definedName name="P_n2">System!$Y$30</definedName>
    <definedName name="P_n20">System!$Y$48</definedName>
    <definedName name="P_n21">System!$Y$49</definedName>
    <definedName name="P_n22">System!$Y$50</definedName>
    <definedName name="P_n23">System!$Y$51</definedName>
    <definedName name="P_n24">System!$Y$52</definedName>
    <definedName name="P_n25">System!$Y$53</definedName>
    <definedName name="P_n26">System!$Y$54</definedName>
    <definedName name="P_n27">System!$Y$55</definedName>
    <definedName name="P_n28">System!$Y$56</definedName>
    <definedName name="P_n29">System!$Y$57</definedName>
    <definedName name="P_n3">System!$Y$31</definedName>
    <definedName name="P_n30">System!$Y$58</definedName>
    <definedName name="P_n31">System!$Y$59</definedName>
    <definedName name="P_n32">System!$Y$60</definedName>
    <definedName name="P_n33">System!$Y$61</definedName>
    <definedName name="P_n34">System!$Y$62</definedName>
    <definedName name="P_n35">System!$Y$63</definedName>
    <definedName name="P_n36">System!$Y$64</definedName>
    <definedName name="P_n37">System!$Y$65</definedName>
    <definedName name="P_n38">System!$Y$66</definedName>
    <definedName name="P_n4">System!$Y$32</definedName>
    <definedName name="P_n5">System!$Y$33</definedName>
    <definedName name="P_n6">System!$Y$34</definedName>
    <definedName name="P_n7">System!$Y$35</definedName>
    <definedName name="P_n8">System!$Y$36</definedName>
    <definedName name="P_n9">System!$Y$37</definedName>
    <definedName name="Ps_J1">System!$F$31</definedName>
    <definedName name="Q_J10">System!$Y$23</definedName>
    <definedName name="Q_J14">System!$D$25</definedName>
    <definedName name="Q_J17">System!$D$26</definedName>
    <definedName name="Q_J4">System!$Y$8</definedName>
    <definedName name="Q_J7">System!$Y$9</definedName>
    <definedName name="Q_P1">System!$D$27</definedName>
    <definedName name="Q_P13">System!$Y$22</definedName>
    <definedName name="Q_P23">System!$Y$25</definedName>
    <definedName name="Q_P6">System!$Y$24</definedName>
    <definedName name="Q_P9">System!$Y$21</definedName>
    <definedName name="rho">System!$E$20</definedName>
    <definedName name="solver_adj" localSheetId="1" hidden="1">System!$Y$8:$Y$11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System!$Y$13</definedName>
    <definedName name="solver_lhs10" localSheetId="1" hidden="1">System!$AC$83</definedName>
    <definedName name="solver_lhs11" localSheetId="1" hidden="1">System!$AC$84</definedName>
    <definedName name="solver_lhs12" localSheetId="1" hidden="1">System!$AC$85</definedName>
    <definedName name="solver_lhs13" localSheetId="1" hidden="1">System!$AC$83</definedName>
    <definedName name="solver_lhs14" localSheetId="1" hidden="1">System!$AC$84</definedName>
    <definedName name="solver_lhs15" localSheetId="1" hidden="1">System!$AC$85</definedName>
    <definedName name="solver_lhs16" localSheetId="1" hidden="1">System!$AC$83</definedName>
    <definedName name="solver_lhs17" localSheetId="1" hidden="1">System!$AC$84</definedName>
    <definedName name="solver_lhs18" localSheetId="1" hidden="1">System!$AC$85</definedName>
    <definedName name="solver_lhs19" localSheetId="1" hidden="1">System!$AC$83</definedName>
    <definedName name="solver_lhs2" localSheetId="1" hidden="1">System!$Y$14</definedName>
    <definedName name="solver_lhs20" localSheetId="1" hidden="1">System!$AC$84</definedName>
    <definedName name="solver_lhs21" localSheetId="1" hidden="1">System!$AC$85</definedName>
    <definedName name="solver_lhs3" localSheetId="1" hidden="1">System!$Y$15</definedName>
    <definedName name="solver_lhs4" localSheetId="1" hidden="1">System!$Y$16</definedName>
    <definedName name="solver_lhs5" localSheetId="1" hidden="1">System!$AC$84</definedName>
    <definedName name="solver_lhs6" localSheetId="1" hidden="1">System!$AC$85</definedName>
    <definedName name="solver_lhs7" localSheetId="1" hidden="1">System!$AC$83</definedName>
    <definedName name="solver_lhs8" localSheetId="1" hidden="1">System!$AC$84</definedName>
    <definedName name="solver_lhs9" localSheetId="1" hidden="1">System!$AC$85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4</definedName>
    <definedName name="solver_nwt" localSheetId="1" hidden="1">1</definedName>
    <definedName name="solver_pre" localSheetId="1" hidden="1">0.0001</definedName>
    <definedName name="solver_rbv" localSheetId="1" hidden="1">1</definedName>
    <definedName name="solver_rel1" localSheetId="1" hidden="1">2</definedName>
    <definedName name="solver_rel10" localSheetId="1" hidden="1">2</definedName>
    <definedName name="solver_rel11" localSheetId="1" hidden="1">2</definedName>
    <definedName name="solver_rel12" localSheetId="1" hidden="1">2</definedName>
    <definedName name="solver_rel13" localSheetId="1" hidden="1">2</definedName>
    <definedName name="solver_rel14" localSheetId="1" hidden="1">2</definedName>
    <definedName name="solver_rel15" localSheetId="1" hidden="1">2</definedName>
    <definedName name="solver_rel16" localSheetId="1" hidden="1">2</definedName>
    <definedName name="solver_rel17" localSheetId="1" hidden="1">2</definedName>
    <definedName name="solver_rel18" localSheetId="1" hidden="1">2</definedName>
    <definedName name="solver_rel19" localSheetId="1" hidden="1">2</definedName>
    <definedName name="solver_rel2" localSheetId="1" hidden="1">2</definedName>
    <definedName name="solver_rel20" localSheetId="1" hidden="1">2</definedName>
    <definedName name="solver_rel21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2</definedName>
    <definedName name="solver_rel7" localSheetId="1" hidden="1">2</definedName>
    <definedName name="solver_rel8" localSheetId="1" hidden="1">2</definedName>
    <definedName name="solver_rel9" localSheetId="1" hidden="1">2</definedName>
    <definedName name="solver_rhs1" localSheetId="1" hidden="1">0</definedName>
    <definedName name="solver_rhs10" localSheetId="1" hidden="1">0</definedName>
    <definedName name="solver_rhs11" localSheetId="1" hidden="1">0</definedName>
    <definedName name="solver_rhs12" localSheetId="1" hidden="1">0</definedName>
    <definedName name="solver_rhs13" localSheetId="1" hidden="1">0</definedName>
    <definedName name="solver_rhs14" localSheetId="1" hidden="1">0</definedName>
    <definedName name="solver_rhs15" localSheetId="1" hidden="1">0</definedName>
    <definedName name="solver_rhs16" localSheetId="1" hidden="1">0</definedName>
    <definedName name="solver_rhs17" localSheetId="1" hidden="1">0</definedName>
    <definedName name="solver_rhs18" localSheetId="1" hidden="1">0</definedName>
    <definedName name="solver_rhs19" localSheetId="1" hidden="1">0</definedName>
    <definedName name="solver_rhs2" localSheetId="1" hidden="1">0</definedName>
    <definedName name="solver_rhs20" localSheetId="1" hidden="1">0</definedName>
    <definedName name="solver_rhs21" localSheetId="1" hidden="1">0</definedName>
    <definedName name="solver_rhs3" localSheetId="1" hidden="1">0</definedName>
    <definedName name="solver_rhs4" localSheetId="1" hidden="1">0</definedName>
    <definedName name="solver_rhs5" localSheetId="1" hidden="1">0</definedName>
    <definedName name="solver_rhs6" localSheetId="1" hidden="1">0</definedName>
    <definedName name="solver_rhs7" localSheetId="1" hidden="1">0</definedName>
    <definedName name="solver_rhs8" localSheetId="1" hidden="1">0</definedName>
    <definedName name="solver_rhs9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1" i="7" l="1"/>
  <c r="I141" i="7" s="1"/>
  <c r="H140" i="7"/>
  <c r="I140" i="7" s="1"/>
  <c r="H136" i="7"/>
  <c r="G136" i="7"/>
  <c r="H135" i="7"/>
  <c r="G135" i="7"/>
  <c r="H134" i="7"/>
  <c r="G134" i="7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74" i="5"/>
  <c r="N79" i="5"/>
  <c r="N78" i="5"/>
  <c r="N77" i="5"/>
  <c r="N76" i="5"/>
  <c r="N75" i="5"/>
  <c r="I135" i="7" l="1"/>
  <c r="I134" i="7"/>
  <c r="I136" i="7"/>
  <c r="Y21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29" i="5"/>
  <c r="N92" i="5"/>
  <c r="C36" i="5" l="1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35" i="5"/>
  <c r="E35" i="5"/>
  <c r="C35" i="5"/>
  <c r="M92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48" i="5"/>
  <c r="F62" i="5" l="1"/>
  <c r="F63" i="5"/>
  <c r="F64" i="5"/>
  <c r="F65" i="5"/>
  <c r="F66" i="5"/>
  <c r="F67" i="5"/>
  <c r="D25" i="5" l="1"/>
  <c r="D26" i="5"/>
  <c r="M87" i="5"/>
  <c r="M88" i="5"/>
  <c r="M89" i="5"/>
  <c r="M82" i="5"/>
  <c r="M83" i="5"/>
  <c r="M84" i="5"/>
  <c r="N36" i="5"/>
  <c r="N45" i="5"/>
  <c r="N37" i="5"/>
  <c r="N44" i="5"/>
  <c r="Y23" i="5" l="1"/>
  <c r="N41" i="5"/>
  <c r="N40" i="5"/>
  <c r="M74" i="5" l="1"/>
  <c r="M75" i="5"/>
  <c r="M76" i="5"/>
  <c r="M77" i="5"/>
  <c r="M78" i="5"/>
  <c r="M79" i="5"/>
  <c r="M45" i="5"/>
  <c r="M44" i="5"/>
  <c r="M36" i="5"/>
  <c r="M37" i="5"/>
  <c r="X25" i="5"/>
  <c r="X24" i="5"/>
  <c r="X21" i="5"/>
  <c r="X22" i="5"/>
  <c r="I62" i="5"/>
  <c r="I63" i="5"/>
  <c r="I64" i="5"/>
  <c r="I65" i="5"/>
  <c r="I66" i="5"/>
  <c r="I67" i="5"/>
  <c r="G62" i="5"/>
  <c r="G63" i="5"/>
  <c r="G64" i="5"/>
  <c r="G65" i="5"/>
  <c r="G66" i="5"/>
  <c r="G67" i="5"/>
  <c r="E62" i="5"/>
  <c r="E63" i="5"/>
  <c r="E64" i="5"/>
  <c r="E65" i="5"/>
  <c r="E66" i="5"/>
  <c r="E67" i="5"/>
  <c r="C62" i="5"/>
  <c r="C63" i="5"/>
  <c r="C64" i="5"/>
  <c r="C65" i="5"/>
  <c r="C66" i="5"/>
  <c r="C67" i="5"/>
  <c r="Y29" i="5" l="1"/>
  <c r="Y24" i="5" l="1"/>
  <c r="N84" i="5"/>
  <c r="N83" i="5"/>
  <c r="Y30" i="5" l="1"/>
  <c r="Y22" i="5"/>
  <c r="N89" i="5"/>
  <c r="N88" i="5"/>
  <c r="Y25" i="5" l="1"/>
  <c r="N82" i="5"/>
  <c r="Y31" i="5" l="1"/>
  <c r="N87" i="5"/>
  <c r="Y32" i="5" l="1"/>
  <c r="Y37" i="5"/>
  <c r="Y33" i="5" l="1"/>
  <c r="Y42" i="5"/>
  <c r="Y38" i="5"/>
  <c r="Y34" i="5" l="1"/>
  <c r="Y39" i="5"/>
  <c r="Y43" i="5"/>
  <c r="Y44" i="5" s="1"/>
  <c r="Y35" i="5" l="1"/>
  <c r="Y40" i="5"/>
  <c r="Y45" i="5"/>
  <c r="Y41" i="5" l="1"/>
  <c r="Y36" i="5"/>
  <c r="Y14" i="5" s="1"/>
  <c r="Y46" i="5"/>
  <c r="Y15" i="5" l="1"/>
  <c r="Y47" i="5"/>
  <c r="Y48" i="5" l="1"/>
  <c r="Y49" i="5" l="1"/>
  <c r="Y62" i="5" l="1"/>
  <c r="Y50" i="5"/>
  <c r="Y51" i="5" l="1"/>
  <c r="Y63" i="5"/>
  <c r="Y64" i="5" l="1"/>
  <c r="Y52" i="5"/>
  <c r="Y53" i="5" l="1"/>
  <c r="Y65" i="5"/>
  <c r="Y66" i="5" l="1"/>
  <c r="Y54" i="5"/>
  <c r="Y55" i="5" l="1"/>
  <c r="Y56" i="5" l="1"/>
  <c r="Y57" i="5" l="1"/>
  <c r="Y58" i="5" l="1"/>
  <c r="Y16" i="5" s="1"/>
  <c r="Y59" i="5" l="1"/>
  <c r="Y60" i="5" l="1"/>
  <c r="Y61" i="5" l="1"/>
  <c r="Y13" i="5" l="1"/>
</calcChain>
</file>

<file path=xl/sharedStrings.xml><?xml version="1.0" encoding="utf-8"?>
<sst xmlns="http://schemas.openxmlformats.org/spreadsheetml/2006/main" count="522" uniqueCount="343">
  <si>
    <t>m³/s</t>
  </si>
  <si>
    <t>Density</t>
  </si>
  <si>
    <t>kg/m³</t>
  </si>
  <si>
    <t>Kinematic Viscosity</t>
  </si>
  <si>
    <t>m²/s</t>
  </si>
  <si>
    <t>Pa</t>
  </si>
  <si>
    <t>Check data (0/1)</t>
  </si>
  <si>
    <t>Input data</t>
  </si>
  <si>
    <t>HydrauCalc calculation</t>
  </si>
  <si>
    <t>Excel calculation</t>
  </si>
  <si>
    <t>rho</t>
  </si>
  <si>
    <t>nu</t>
  </si>
  <si>
    <t>Constraints:</t>
  </si>
  <si>
    <t>Variable name</t>
  </si>
  <si>
    <t>Data verification</t>
  </si>
  <si>
    <t>Cd</t>
  </si>
  <si>
    <t>Pipe data</t>
  </si>
  <si>
    <t>Name</t>
  </si>
  <si>
    <t>Bend data</t>
  </si>
  <si>
    <t>Solver data</t>
  </si>
  <si>
    <t>Difference</t>
  </si>
  <si>
    <t>Reference</t>
  </si>
  <si>
    <t>Flowrate</t>
  </si>
  <si>
    <t>Press. loss</t>
  </si>
  <si>
    <t>Head</t>
  </si>
  <si>
    <t>J4</t>
  </si>
  <si>
    <t>J7</t>
  </si>
  <si>
    <t>Q_J4</t>
  </si>
  <si>
    <t>Q_J7</t>
  </si>
  <si>
    <t>J5</t>
  </si>
  <si>
    <t>Reservoir data</t>
  </si>
  <si>
    <t>J1</t>
  </si>
  <si>
    <t>H_J1</t>
  </si>
  <si>
    <t>J9</t>
  </si>
  <si>
    <t>P2</t>
  </si>
  <si>
    <t>P5</t>
  </si>
  <si>
    <t>P9</t>
  </si>
  <si>
    <t>P1</t>
  </si>
  <si>
    <t>P8</t>
  </si>
  <si>
    <t>P3</t>
  </si>
  <si>
    <t>P4</t>
  </si>
  <si>
    <t>P6</t>
  </si>
  <si>
    <t>P7</t>
  </si>
  <si>
    <t>Ps_J1</t>
  </si>
  <si>
    <t>K_J1</t>
  </si>
  <si>
    <t>Comparison of pressure loss coefficient</t>
  </si>
  <si>
    <t>Reference: AFT Fathom 10 - Examples - Hot Water System</t>
  </si>
  <si>
    <t>J12</t>
  </si>
  <si>
    <t>J19</t>
  </si>
  <si>
    <t>J21</t>
  </si>
  <si>
    <t>J16</t>
  </si>
  <si>
    <t>J10</t>
  </si>
  <si>
    <t>P13</t>
  </si>
  <si>
    <t>J14</t>
  </si>
  <si>
    <t>J17</t>
  </si>
  <si>
    <t>P23</t>
  </si>
  <si>
    <t>J15</t>
  </si>
  <si>
    <t>J18</t>
  </si>
  <si>
    <t>Q_J10</t>
  </si>
  <si>
    <t>Q_J14</t>
  </si>
  <si>
    <t>Q_J17</t>
  </si>
  <si>
    <t>Heat Exch J15 &amp; J18</t>
  </si>
  <si>
    <t>P14</t>
  </si>
  <si>
    <t>K_J14</t>
  </si>
  <si>
    <t>K_J17</t>
  </si>
  <si>
    <t>P10</t>
  </si>
  <si>
    <t>P11</t>
  </si>
  <si>
    <t>P12</t>
  </si>
  <si>
    <t>P18</t>
  </si>
  <si>
    <t>P19</t>
  </si>
  <si>
    <t>P20</t>
  </si>
  <si>
    <t>P21</t>
  </si>
  <si>
    <t>P22</t>
  </si>
  <si>
    <t>P24</t>
  </si>
  <si>
    <t>P15</t>
  </si>
  <si>
    <t>P16</t>
  </si>
  <si>
    <t>P17</t>
  </si>
  <si>
    <t>Comparison of volume flowrate (m³/s)</t>
  </si>
  <si>
    <t>https://hydraucalc.com</t>
  </si>
  <si>
    <t>Fluid data</t>
  </si>
  <si>
    <t>Legend</t>
  </si>
  <si>
    <t>Unit symbol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</si>
  <si>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</si>
  <si>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</si>
  <si>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</si>
  <si>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Pumps head</t>
  </si>
  <si>
    <t>Control valve pressure loss</t>
  </si>
  <si>
    <t>Heat Exchanger pressure loss</t>
  </si>
  <si>
    <t>Pipe pressure loss</t>
  </si>
  <si>
    <t>Bend pressure loss</t>
  </si>
  <si>
    <t>Q_P1</t>
  </si>
  <si>
    <t>Value to be computed by solver (variable cells)</t>
  </si>
  <si>
    <t>m fluid</t>
  </si>
  <si>
    <t>= SplineInterpolation(Q_J4;D83:D90;E83:E90;Cd)</t>
  </si>
  <si>
    <t>= SplineInterpolation(Q_J7;D83:D90;E83:E90;Cd)</t>
  </si>
  <si>
    <t>= SplineInterpolation(Q_J10;D83:D90;E83:E90;Cd)</t>
  </si>
  <si>
    <t>= SplineInterpolation(Q_J14;D71:D78;E71:E78;Cd)</t>
  </si>
  <si>
    <t>= SplineInterpolation(Q_J17;D71:D78;E71:E78;Cd)</t>
  </si>
  <si>
    <t>= Q_J4 + Q_J7</t>
  </si>
  <si>
    <t>= Q_J4 + Q_J7 + Q_J10</t>
  </si>
  <si>
    <t>= Q_J14 + Q_J17 - Q_J4 - Q_J7</t>
  </si>
  <si>
    <t>= Q_J7 + Q_J10</t>
  </si>
  <si>
    <t>= Q_J14 + Q_J17</t>
  </si>
  <si>
    <t>= PressureLoss_k_Qv_D_Rho(K_J14;Q_J14;D_P15;rho)</t>
  </si>
  <si>
    <t>= PressureLoss_k_Qv_D_Rho(K_J17;Q_J17;D_P19;rho)</t>
  </si>
  <si>
    <t xml:space="preserve">Fluid </t>
  </si>
  <si>
    <t>Water 66 °C at 1 atm</t>
  </si>
  <si>
    <t>Find: the pressure loss coefficient of the control valve to allow a flowrate of 70 m³/h (0.01944 m³/s) in each heat exchanger and the working point of the pumps</t>
  </si>
  <si>
    <r>
      <t>Curvature radius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</si>
  <si>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Angle (</t>
    </r>
    <r>
      <rPr>
        <sz val="11"/>
        <color rgb="FF7030A0"/>
        <rFont val="Calibri"/>
        <family val="2"/>
        <scheme val="minor"/>
      </rPr>
      <t>°</t>
    </r>
    <r>
      <rPr>
        <sz val="11"/>
        <color theme="1"/>
        <rFont val="Calibri"/>
        <family val="2"/>
        <scheme val="minor"/>
      </rPr>
      <t>)</t>
    </r>
  </si>
  <si>
    <r>
      <t>Surface elevation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</si>
  <si>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Surface pressure (</t>
    </r>
    <r>
      <rPr>
        <sz val="11"/>
        <color rgb="FF7030A0"/>
        <rFont val="Calibri"/>
        <family val="2"/>
        <scheme val="minor"/>
      </rPr>
      <t>Pa</t>
    </r>
    <r>
      <rPr>
        <sz val="11"/>
        <color theme="1"/>
        <rFont val="Calibri"/>
        <family val="2"/>
        <scheme val="minor"/>
      </rPr>
      <t>)</t>
    </r>
  </si>
  <si>
    <t>K flow outlet</t>
  </si>
  <si>
    <t>Deducted volume flowrate</t>
  </si>
  <si>
    <t>Static pressure at node</t>
  </si>
  <si>
    <t>Pumps pressure</t>
  </si>
  <si>
    <t>Reservoir pressure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</si>
  <si>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</si>
  <si>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</si>
  <si>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</si>
  <si>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</si>
  <si>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</si>
  <si>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</si>
  <si>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</si>
  <si>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</si>
  <si>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</si>
  <si>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</si>
  <si>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</si>
  <si>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</si>
  <si>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</si>
  <si>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</si>
  <si>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</si>
  <si>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</si>
  <si>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</si>
  <si>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</si>
  <si>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</si>
  <si>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</si>
  <si>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</si>
  <si>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</si>
  <si>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</si>
  <si>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</si>
  <si>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</si>
  <si>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</si>
  <si>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</si>
  <si>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</si>
  <si>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</si>
  <si>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</si>
  <si>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</si>
  <si>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</si>
  <si>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</si>
  <si>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</si>
  <si>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</si>
  <si>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</si>
  <si>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</si>
  <si>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</si>
  <si>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=  P_n33 - P_n2</t>
  </si>
  <si>
    <t>=  P_n8 - P_n12</t>
  </si>
  <si>
    <t>=  P_n18 - P_n13</t>
  </si>
  <si>
    <t>=  P_n38 - P_n30</t>
  </si>
  <si>
    <t>=  P_J1</t>
  </si>
  <si>
    <t>=  P_n1 - dP_P1</t>
  </si>
  <si>
    <t>=  P_n2 - dP_P2</t>
  </si>
  <si>
    <t>=  P_n3 - dP_P3</t>
  </si>
  <si>
    <t>=  P_n4 + P_J4</t>
  </si>
  <si>
    <t>=  P_n5 - dP_P4</t>
  </si>
  <si>
    <t>=  P_n6 - dP_J5</t>
  </si>
  <si>
    <t>=  P_n7 - dP_P5</t>
  </si>
  <si>
    <t>=  P_n3 - dP_P6</t>
  </si>
  <si>
    <t>=  P_n9 - dP_P7</t>
  </si>
  <si>
    <t>=  P_n10 + P_J7</t>
  </si>
  <si>
    <t>=  P_n11 - dP_P8</t>
  </si>
  <si>
    <t>=  P_n12 - dP_P9</t>
  </si>
  <si>
    <t>=  P_n9 - dP_P10</t>
  </si>
  <si>
    <t>=  P_n14 - dP_J9</t>
  </si>
  <si>
    <t>=  P_n15 - dP_P11</t>
  </si>
  <si>
    <t>=  P_n16 + P_J10</t>
  </si>
  <si>
    <t>=  P_n17 - dP_P12</t>
  </si>
  <si>
    <t>=  P_n18 - dP_P13</t>
  </si>
  <si>
    <t>=  P_n19 - dP_J12</t>
  </si>
  <si>
    <t>=  P_n20 - dP_P14</t>
  </si>
  <si>
    <t>=  P_n21 - dP_P18</t>
  </si>
  <si>
    <t>=  P_n22 - dP_J16</t>
  </si>
  <si>
    <t>=  P_n23 - dP_P19</t>
  </si>
  <si>
    <t>=  P_n24 - dP_J17</t>
  </si>
  <si>
    <t>=  P_n25 - dP_P20</t>
  </si>
  <si>
    <t>=  P_n26 - dP_J18</t>
  </si>
  <si>
    <t>=  P_n27 - dP_P21</t>
  </si>
  <si>
    <t>=  P_n28 - dP_J19</t>
  </si>
  <si>
    <t>=  P_n29 - dP_P22</t>
  </si>
  <si>
    <t>=  P_n30 - dP_P23</t>
  </si>
  <si>
    <t>=  P_n31 - dP_J21</t>
  </si>
  <si>
    <t>=  P_n32 - dP_P24</t>
  </si>
  <si>
    <t>=  P_n21 - dP_P15</t>
  </si>
  <si>
    <t>=  P_n34 - dP_J14</t>
  </si>
  <si>
    <t>=  P_n35 - dP_P16</t>
  </si>
  <si>
    <t>=  P_n36 - dP_J15</t>
  </si>
  <si>
    <t>=  P_n37 - dP_P17</t>
  </si>
  <si>
    <t>= FlowCoefficientKv_Qv_dP_Rho(Q_J14;dP_J14;rho)</t>
  </si>
  <si>
    <t>= FlowCoefficientKv_Qv_dP_Rho(Q_J17;dP_J17;rho)</t>
  </si>
  <si>
    <t>Control valve flow coefficient Kv</t>
  </si>
  <si>
    <t xml:space="preserve">     P_n33 - P_n2 = 0</t>
  </si>
  <si>
    <t xml:space="preserve">     P_n18 - P_n13 = 0</t>
  </si>
  <si>
    <t xml:space="preserve">     P_n38 - P_n30 = 0</t>
  </si>
  <si>
    <t>Content of neighboring cell</t>
  </si>
  <si>
    <t>= Ps_J1 + StaticPressure_H_Rho_g(H_J1;rho)</t>
  </si>
  <si>
    <t>= PressureLoss_dH_Rho_g(H_J4;rho)</t>
  </si>
  <si>
    <t>= PressureLoss_dH_Rho_g(H_J7;rho)</t>
  </si>
  <si>
    <t>= PressureLoss_dH_Rho_g(H_J10;rho)</t>
  </si>
  <si>
    <t xml:space="preserve">     P_n8 - P_n12 = 0</t>
  </si>
  <si>
    <t>Description of the system:</t>
  </si>
  <si>
    <t>The system is made up of:</t>
  </si>
  <si>
    <t xml:space="preserve">6 inch </t>
  </si>
  <si>
    <t xml:space="preserve">Length = 3 meters </t>
  </si>
  <si>
    <t xml:space="preserve">4 inch </t>
  </si>
  <si>
    <t xml:space="preserve">Length = 1.5 meters </t>
  </si>
  <si>
    <t xml:space="preserve">Length = 1 meter </t>
  </si>
  <si>
    <t xml:space="preserve">Length = 5 meters </t>
  </si>
  <si>
    <t xml:space="preserve">Length = 9 meters </t>
  </si>
  <si>
    <t xml:space="preserve">Reservoir J1 </t>
  </si>
  <si>
    <t xml:space="preserve">Liquid Surface Elevation = 3 meters </t>
  </si>
  <si>
    <t xml:space="preserve">Liquid Surface Pressure = 0 barG (0 kPa-g) </t>
  </si>
  <si>
    <t xml:space="preserve">Pipe Depth = 3 meters </t>
  </si>
  <si>
    <t xml:space="preserve">Control Valves J14, J17 </t>
  </si>
  <si>
    <t xml:space="preserve">Type = Flow Control (FCV) </t>
  </si>
  <si>
    <t xml:space="preserve">Control Setpoint = 70 m3/hr </t>
  </si>
  <si>
    <t>R2022a</t>
  </si>
  <si>
    <t>The use of the HydrauCalcXL library imposes positive flowrates in all the branches of the studied system,</t>
  </si>
  <si>
    <t>which requires knowing the direction of fluid flow in each branch.</t>
  </si>
  <si>
    <t xml:space="preserve">Pipes P1, P2, P13 </t>
  </si>
  <si>
    <t xml:space="preserve">Pipes P3, P7, P11, P15, P19 </t>
  </si>
  <si>
    <t xml:space="preserve">Pipe P24 </t>
  </si>
  <si>
    <t xml:space="preserve">Pipes P4, P8, P12, P16, P18, P20, P22 </t>
  </si>
  <si>
    <t xml:space="preserve">Pipes P6, P9 </t>
  </si>
  <si>
    <t xml:space="preserve">Pipes P5, P10 </t>
  </si>
  <si>
    <t xml:space="preserve">Pipes P17, P21 </t>
  </si>
  <si>
    <t xml:space="preserve">Pipes P14, P23 </t>
  </si>
  <si>
    <t>Description of the contents of the worksheet:</t>
  </si>
  <si>
    <t>• The input data is represented by the formatted cells as follows:</t>
  </si>
  <si>
    <t>Characteristics of the fluid:</t>
  </si>
  <si>
    <t>Characteristics of reservoirs:</t>
  </si>
  <si>
    <t>Characteristics of pipes:</t>
  </si>
  <si>
    <t>Characteristics of bend:</t>
  </si>
  <si>
    <t>Heat exchangers pressure loss:</t>
  </si>
  <si>
    <t>• The calculations performed using the functions of the HydrauCalcXL add-in are represented by the cells formatted as follows:</t>
  </si>
  <si>
    <t>The functions used are recalled in gray text.</t>
  </si>
  <si>
    <t>Pressure loss in the components:</t>
  </si>
  <si>
    <t>Pump static head:</t>
  </si>
  <si>
    <t>Reservoir pressure:</t>
  </si>
  <si>
    <t>• The calculations performed using functions built into Excel are represented by cells formatted as follows:</t>
  </si>
  <si>
    <t>Nodes static pressure:</t>
  </si>
  <si>
    <t>• Solver data for finding a solution:</t>
  </si>
  <si>
    <t>In the present system, these initial guesses made it possible to find the solution:</t>
  </si>
  <si>
    <t>The necessary data for the solver are:</t>
  </si>
  <si>
    <t>The following window is displayed if the solver find a solution.</t>
  </si>
  <si>
    <t>The result obtained is presented in the following figure:</t>
  </si>
  <si>
    <t>Note:</t>
  </si>
  <si>
    <t>Volume flowrate</t>
  </si>
  <si>
    <t>Fluid flowrate imposed in each heat exchanger and the reservoir:</t>
  </si>
  <si>
    <t>Pumps head:</t>
  </si>
  <si>
    <t>Deducted volume flowrate:</t>
  </si>
  <si>
    <t>And therefore the flowrate of each of the three pumps will be close to 140/3 or approximately 46.7 m³/h (0.013 m³/s).</t>
  </si>
  <si>
    <t>The assumptions are:</t>
  </si>
  <si>
    <t>The characteristics of the fluid are known.</t>
  </si>
  <si>
    <t>The geometry of the components is known.</t>
  </si>
  <si>
    <t>All the components are located in the same plane.</t>
  </si>
  <si>
    <t>Resolution of problem: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</si>
  <si>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</si>
  <si>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</si>
  <si>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When the solver does not find a solution to the problem, it is sometimes necessary to modify the initial guesses.</t>
  </si>
  <si>
    <t>The use of the solver for the flows and pressure loss coefficients requires giving an estimate of the value.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</si>
  <si>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</si>
  <si>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</si>
  <si>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</si>
  <si>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</si>
  <si>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</si>
  <si>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</si>
  <si>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</si>
  <si>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</si>
  <si>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</si>
  <si>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</si>
  <si>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</si>
  <si>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</si>
  <si>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</si>
  <si>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Example: cell E20 has the name "rho" which will be used in functions having density as a parameter.</t>
  </si>
  <si>
    <t>To use Solver, the problem can be viewed as a system of four equations</t>
  </si>
  <si>
    <t>The heat exchangers flowrate is an input data.</t>
  </si>
  <si>
    <t xml:space="preserve"> for four unknowns who are the pressure loss coefficients of the two control valves J14 et J17</t>
  </si>
  <si>
    <t>and the flowrate of the two pumps J4 and J7. The flowrate of the third pump J10 is deducted.</t>
  </si>
  <si>
    <t>In this calculation case, the determination of the pressure loss coefficients of the two control valves</t>
  </si>
  <si>
    <t>and the flowrate of the pumps requires a certain number of iterations.</t>
  </si>
  <si>
    <t>and the flows are compared to the requested flows.</t>
  </si>
  <si>
    <t>The pressure drop of the junctions is neglected.</t>
  </si>
  <si>
    <t>The pressure in the loop is imposed upstream of the pump by the reservoir.</t>
  </si>
  <si>
    <t>To solve this system of equations with four unknowns, four equations are needed.</t>
  </si>
  <si>
    <t>In the studied system these equations are the equality of the pressures at the level of the junctions with meeting of the currents J2, J8, J11 and J20:</t>
  </si>
  <si>
    <t>- at junction J2 equal pressures at nodes 2 and 33,</t>
  </si>
  <si>
    <t>- at junction J8 equal pressure at nodes 8 and 12,</t>
  </si>
  <si>
    <t>- at junction J11 equal pressure at nodes 13 and 18,</t>
  </si>
  <si>
    <t>- at junction J20 equal pressure at nodes 30 and 38.</t>
  </si>
  <si>
    <t>These equations are introduced into the solver in the form of constraints to be respected.</t>
  </si>
  <si>
    <t>The system has 4 unknowns. these are the pressure drop coefficients of the control valves and the flow rates of two of the three pumps.</t>
  </si>
  <si>
    <t xml:space="preserve"> The flow rate of the third pump will be the result of the difference between the flow rates of the two exchangers and the flow rates of the two pumps.</t>
  </si>
  <si>
    <t xml:space="preserve">    - the flowrate of the pumps J4 and J7 (cells Y8 and Y9),</t>
  </si>
  <si>
    <t xml:space="preserve">    - the pressure loss coefficients the heat exchangers J14 and J17 (cells Y10 and Y11),</t>
  </si>
  <si>
    <t>▪ the variable cells which, in our case, are</t>
  </si>
  <si>
    <t>▪ the constraints to be respected (cells Y13 to Y16).</t>
  </si>
  <si>
    <t>An initial guess greater than 70m³/h (0.01944 m³/s) for the J4 and J7 pumps will generate a negative flow for the J10 pump and cause an error.</t>
  </si>
  <si>
    <t>The initial guess of the flowrate of each pump must take into account the total flowrate of the exchangers, which is 140 m³/h.</t>
  </si>
  <si>
    <t>= BendSmoothCircularCrossSection_dP(D_J5;C_J5;A_J5;e_J5;Q_J4;rho;nu;1;;;Cd;L74)</t>
  </si>
  <si>
    <t>= BendSmoothCircularCrossSection_dP(D_J9;C_J9;A_J5;e_J9;Q_J10;rho;nu;1;;;Cd;L75)</t>
  </si>
  <si>
    <t>= BendSmoothCircularCrossSection_dP(D_J12;C_J12;A_J12;e_J5;Q_P13;rho;nu;1;;;Cd;L76)</t>
  </si>
  <si>
    <t>= BendSmoothCircularCrossSection_dP(D_J16;C_J16;A_J16;e_J16;Q_J17;rho;nu;1;;;Cd;L77)</t>
  </si>
  <si>
    <t>= BendSmoothCircularCrossSection_dP(D_J19;C_J19;A_J19;e_J19;Q_J17;rho;nu;1;;;Cd;L78)</t>
  </si>
  <si>
    <t>= BendSmoothCircularCrossSection_dP(D_J21;C_J21;A_J21;e_J21;Q_P23;rho;nu;1;;;Cd;L79)</t>
  </si>
  <si>
    <t>= PipeStraightCircularCrossSection_dP(D_P1;L_P1;Q_P1;rho;nu;2;e_P1;;;Cd;L48)</t>
  </si>
  <si>
    <t>= PipeStraightCircularCrossSection_dP(D_P2;L_P2;Q_P23;rho;nu;2;e_P2;;;Cd;L49)</t>
  </si>
  <si>
    <t>= PipeStraightCircularCrossSection_dP(D_P3;L_P3;Q_J4;rho;nu;2;e_P3;;;Cd;L50)</t>
  </si>
  <si>
    <t>= PipeStraightCircularCrossSection_dP(D_P4;L_P4;Q_J4;rho;nu;2;e_P4;;;Cd;L51)</t>
  </si>
  <si>
    <t>= PipeStraightCircularCrossSection_dP(D_P5;L_P5;Q_J4;rho;nu;2;e_P5;;;Cd;L52)</t>
  </si>
  <si>
    <t>= PipeStraightCircularCrossSection_dP(D_P6;L_P6;Q_P6;rho;nu;2;e_P6;;;Cd;L53)</t>
  </si>
  <si>
    <t>= PipeStraightCircularCrossSection_dP(D_P7;L_P7;Q_J7;rho;nu;2;e_P7;;;Cd;L54)</t>
  </si>
  <si>
    <t>= PipeStraightCircularCrossSection_dP(D_P8;L_P8;Q_J7;rho;nu;2;e_P8;;;Cd;L55)</t>
  </si>
  <si>
    <t>= PipeStraightCircularCrossSection_dP(D_P9;L_P9;Q_P9;rho;nu;2;e_P9;;;Cd;L56)</t>
  </si>
  <si>
    <t>= PipeStraightCircularCrossSection_dP(D_P10;L_P10;Q_J10;rho;nu;2;e_P10;;;Cd;L57)</t>
  </si>
  <si>
    <t>= PipeStraightCircularCrossSection_dP(D_P11;L_P11;Q_J10;rho;nu;2;e_P11;;;Cd;L58)</t>
  </si>
  <si>
    <t>= PipeStraightCircularCrossSection_dP(D_P12;L_P12;Q_J10;rho;nu;2;e_P12;;;Cd;L59)</t>
  </si>
  <si>
    <t>= PipeStraightCircularCrossSection_dP(D_P13;L_P13;Q_P13;rho;nu;2;e_P13;;;Cd;L60)</t>
  </si>
  <si>
    <t>= PipeStraightCircularCrossSection_dP(D_P14;L_P14;Q_P13;rho;nu;2;e_P14;;;Cd;L61)</t>
  </si>
  <si>
    <t>= PipeStraightCircularCrossSection_dP(D_P15;L_P15;Q_J14;rho;nu;2;e_P15;;;Cd;L62)</t>
  </si>
  <si>
    <t>= PipeStraightCircularCrossSection_dP(D_P16;L_P16;Q_J14;rho;nu;2;e_P16;;;Cd;L63)</t>
  </si>
  <si>
    <t>= PipeStraightCircularCrossSection_dP(D_P17;L_P17;Q_J14;rho;nu;2;e_P17;;;Cd;L64)</t>
  </si>
  <si>
    <t>= PipeStraightCircularCrossSection_dP(D_P18;L_P18;Q_J17;rho;nu;2;e_P18;;;Cd;L65)</t>
  </si>
  <si>
    <t>= PipeStraightCircularCrossSection_dP(D_P19;L_P19;Q_J17;rho;nu;2;e_P19;;;Cd;L66)</t>
  </si>
  <si>
    <t>= PipeStraightCircularCrossSection_dP(D_P20;L_P20;Q_J17;rho;nu;2;e_P20;;;Cd;L67)</t>
  </si>
  <si>
    <t>= PipeStraightCircularCrossSection_dP(D_P21;L_P21;Q_J17;rho;nu;2;e_P21;;;Cd;L68)</t>
  </si>
  <si>
    <t>= PipeStraightCircularCrossSection_dP(D_P22;L_P22;Q_J17;rho;nu;2;e_P22;;;Cd;L69)</t>
  </si>
  <si>
    <t>= PipeStraightCircularCrossSection_dP(D_P23;L_P23;Q_P23;rho;nu;2;e_P23;;;Cd;L70)</t>
  </si>
  <si>
    <t>= PipeStraightCircularCrossSection_dP(D_P24;L_P24;Q_P23;rho;nu;2;e_P24;;;Cd;L71)</t>
  </si>
  <si>
    <t>HydrauCalcXL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</si>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</sst>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0000"/>
    <numFmt numFmtId="166" formatCode="0.000000"/>
    <numFmt numFmtId="167" formatCode="0.000E+00"/>
    <numFmt numFmtId="168" formatCode="0.0000E+00"/>
    <numFmt numFmtId="169" formatCode="0.000%"/>
    <numFmt numFmtId="170" formatCode="0.000"/>
    <numFmt numFmtId="171" formatCode="0.0000000"/>
    <numFmt numFmtId="172" formatCode="0.0"/>
  </numFmts>
  <fonts count="2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ck">
        <color rgb="FF548235"/>
      </right>
      <top/>
      <bottom/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Border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5" fillId="0" borderId="0" xfId="0" applyFont="1"/>
    <xf numFmtId="0" fontId="10" fillId="0" borderId="7" xfId="0" applyFont="1" applyBorder="1" applyAlignment="1">
      <alignment horizontal="center"/>
    </xf>
    <xf numFmtId="169" fontId="3" fillId="0" borderId="9" xfId="1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169" fontId="3" fillId="0" borderId="12" xfId="1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0" xfId="0" quotePrefix="1" applyFont="1"/>
    <xf numFmtId="1" fontId="4" fillId="0" borderId="0" xfId="0" applyNumberFormat="1" applyFont="1" applyBorder="1" applyAlignment="1">
      <alignment horizontal="center"/>
    </xf>
    <xf numFmtId="170" fontId="0" fillId="0" borderId="0" xfId="0" applyNumberFormat="1" applyAlignment="1">
      <alignment horizontal="left"/>
    </xf>
    <xf numFmtId="164" fontId="12" fillId="0" borderId="8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2" fillId="0" borderId="0" xfId="0" applyFont="1"/>
    <xf numFmtId="165" fontId="0" fillId="0" borderId="0" xfId="0" applyNumberFormat="1" applyAlignment="1">
      <alignment horizontal="left"/>
    </xf>
    <xf numFmtId="169" fontId="3" fillId="0" borderId="6" xfId="1" applyNumberFormat="1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69" fontId="3" fillId="0" borderId="18" xfId="1" applyNumberFormat="1" applyFont="1" applyBorder="1" applyAlignment="1">
      <alignment horizontal="center"/>
    </xf>
    <xf numFmtId="169" fontId="0" fillId="0" borderId="0" xfId="1" applyNumberFormat="1" applyFont="1"/>
    <xf numFmtId="17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14" fillId="0" borderId="0" xfId="0" applyFont="1"/>
    <xf numFmtId="0" fontId="15" fillId="0" borderId="0" xfId="2"/>
    <xf numFmtId="0" fontId="16" fillId="0" borderId="0" xfId="0" applyFont="1"/>
    <xf numFmtId="0" fontId="0" fillId="2" borderId="19" xfId="0" applyFill="1" applyBorder="1" applyAlignment="1">
      <alignment horizontal="center"/>
    </xf>
    <xf numFmtId="0" fontId="12" fillId="0" borderId="0" xfId="0" quotePrefix="1" applyFont="1"/>
    <xf numFmtId="0" fontId="0" fillId="3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17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168" fontId="10" fillId="0" borderId="0" xfId="0" applyNumberFormat="1" applyFont="1"/>
    <xf numFmtId="168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7" fontId="0" fillId="2" borderId="19" xfId="0" applyNumberFormat="1" applyFill="1" applyBorder="1" applyAlignment="1">
      <alignment horizontal="center"/>
    </xf>
    <xf numFmtId="0" fontId="17" fillId="0" borderId="0" xfId="0" applyFont="1" applyAlignment="1">
      <alignment horizontal="center"/>
    </xf>
    <xf numFmtId="164" fontId="0" fillId="2" borderId="19" xfId="0" applyNumberFormat="1" applyFill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0" fontId="18" fillId="0" borderId="0" xfId="0" quotePrefix="1" applyFont="1"/>
    <xf numFmtId="165" fontId="16" fillId="0" borderId="0" xfId="0" applyNumberFormat="1" applyFont="1"/>
    <xf numFmtId="165" fontId="1" fillId="0" borderId="0" xfId="0" applyNumberFormat="1" applyFont="1"/>
    <xf numFmtId="1" fontId="0" fillId="4" borderId="21" xfId="0" applyNumberForma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65" fontId="0" fillId="2" borderId="19" xfId="0" applyNumberFormat="1" applyFill="1" applyBorder="1" applyAlignment="1">
      <alignment horizontal="center"/>
    </xf>
    <xf numFmtId="172" fontId="0" fillId="2" borderId="19" xfId="0" applyNumberFormat="1" applyFill="1" applyBorder="1" applyAlignment="1">
      <alignment horizontal="center"/>
    </xf>
    <xf numFmtId="0" fontId="16" fillId="5" borderId="0" xfId="0" applyFont="1" applyFill="1"/>
    <xf numFmtId="0" fontId="0" fillId="5" borderId="0" xfId="0" applyFill="1"/>
    <xf numFmtId="0" fontId="12" fillId="5" borderId="0" xfId="0" applyFont="1" applyFill="1"/>
    <xf numFmtId="0" fontId="11" fillId="5" borderId="0" xfId="0" applyFont="1" applyFill="1" applyAlignment="1">
      <alignment horizontal="center"/>
    </xf>
    <xf numFmtId="0" fontId="17" fillId="5" borderId="0" xfId="0" applyFont="1" applyFill="1"/>
    <xf numFmtId="172" fontId="0" fillId="5" borderId="20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170" fontId="0" fillId="4" borderId="21" xfId="0" applyNumberFormat="1" applyFill="1" applyBorder="1" applyAlignment="1">
      <alignment horizontal="center"/>
    </xf>
    <xf numFmtId="165" fontId="0" fillId="5" borderId="20" xfId="0" applyNumberFormat="1" applyFill="1" applyBorder="1" applyAlignment="1">
      <alignment horizontal="center"/>
    </xf>
    <xf numFmtId="0" fontId="13" fillId="0" borderId="0" xfId="0" applyFont="1"/>
    <xf numFmtId="1" fontId="0" fillId="5" borderId="20" xfId="0" applyNumberFormat="1" applyFill="1" applyBorder="1" applyAlignment="1">
      <alignment horizontal="center"/>
    </xf>
    <xf numFmtId="165" fontId="1" fillId="0" borderId="0" xfId="0" applyNumberFormat="1" applyFont="1" applyBorder="1" applyAlignment="1"/>
    <xf numFmtId="172" fontId="0" fillId="4" borderId="21" xfId="0" applyNumberFormat="1" applyFill="1" applyBorder="1" applyAlignment="1">
      <alignment horizontal="center"/>
    </xf>
    <xf numFmtId="0" fontId="10" fillId="5" borderId="0" xfId="0" quotePrefix="1" applyFont="1" applyFill="1"/>
    <xf numFmtId="170" fontId="0" fillId="5" borderId="20" xfId="0" applyNumberFormat="1" applyFill="1" applyBorder="1" applyAlignment="1">
      <alignment horizontal="center"/>
    </xf>
    <xf numFmtId="0" fontId="19" fillId="0" borderId="0" xfId="0" applyFont="1"/>
    <xf numFmtId="0" fontId="20" fillId="0" borderId="0" xfId="2" applyFont="1"/>
    <xf numFmtId="0" fontId="21" fillId="0" borderId="0" xfId="0" applyFont="1"/>
    <xf numFmtId="0" fontId="22" fillId="0" borderId="0" xfId="0" applyFont="1"/>
    <xf numFmtId="0" fontId="0" fillId="0" borderId="0" xfId="0" quotePrefix="1"/>
    <xf numFmtId="0" fontId="23" fillId="0" borderId="13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165" fontId="12" fillId="0" borderId="5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12" fillId="0" borderId="17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548235"/>
      <color rgb="FFF040D7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 J15 &amp; J18</a:t>
            </a:r>
            <a:r>
              <a:rPr lang="fr-FR" sz="1200" baseline="0"/>
              <a:t>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2406454622901203"/>
          <c:y val="0.20926631646818744"/>
          <c:w val="0.7210314320260921"/>
          <c:h val="0.62685300701048718"/>
        </c:manualLayout>
      </c:layout>
      <c:scatterChart>
        <c:scatterStyle val="smoothMarker"/>
        <c:varyColors val="0"/>
        <c:ser>
          <c:idx val="3"/>
          <c:order val="0"/>
          <c:tx>
            <c:v>Heat exchanger curve J15 &amp; J18</c:v>
          </c:tx>
          <c:spPr>
            <a:ln w="28575">
              <a:solidFill>
                <a:schemeClr val="accent4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System!$B$72:$B$79</c:f>
              <c:numCache>
                <c:formatCode>0.0000</c:formatCode>
                <c:ptCount val="8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</c:numCache>
            </c:numRef>
          </c:xVal>
          <c:yVal>
            <c:numRef>
              <c:f>System!$C$72:$C$79</c:f>
              <c:numCache>
                <c:formatCode>0</c:formatCode>
                <c:ptCount val="8"/>
                <c:pt idx="0">
                  <c:v>0</c:v>
                </c:pt>
                <c:pt idx="1">
                  <c:v>1246</c:v>
                </c:pt>
                <c:pt idx="2">
                  <c:v>12761</c:v>
                </c:pt>
                <c:pt idx="3">
                  <c:v>34545</c:v>
                </c:pt>
                <c:pt idx="4">
                  <c:v>66596</c:v>
                </c:pt>
                <c:pt idx="5">
                  <c:v>108916</c:v>
                </c:pt>
                <c:pt idx="6">
                  <c:v>161503</c:v>
                </c:pt>
                <c:pt idx="7">
                  <c:v>224359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0D-4CC1-9DEB-A7D13B9F68E9}"/>
            </c:ext>
          </c:extLst>
        </c:ser>
        <c:ser>
          <c:idx val="0"/>
          <c:order val="1"/>
          <c:tx>
            <c:v>Working point J15</c:v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System!$D$25</c:f>
              <c:numCache>
                <c:formatCode>0.00000</c:formatCode>
                <c:ptCount val="1"/>
                <c:pt idx="0">
                  <c:v>1.9444444444444445E-2</c:v>
                </c:pt>
              </c:numCache>
            </c:numRef>
          </c:xVal>
          <c:yVal>
            <c:numRef>
              <c:f>System!$N$44</c:f>
              <c:numCache>
                <c:formatCode>0</c:formatCode>
                <c:ptCount val="1"/>
                <c:pt idx="0">
                  <c:v>62520.54296875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9B-4992-A556-39A4065E9FFA}"/>
            </c:ext>
          </c:extLst>
        </c:ser>
        <c:ser>
          <c:idx val="1"/>
          <c:order val="2"/>
          <c:tx>
            <c:v>Working point J18</c:v>
          </c:tx>
          <c:spPr>
            <a:ln w="28575">
              <a:noFill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System!$D$26</c:f>
              <c:numCache>
                <c:formatCode>0.00000</c:formatCode>
                <c:ptCount val="1"/>
                <c:pt idx="0">
                  <c:v>1.9444444444444445E-2</c:v>
                </c:pt>
              </c:numCache>
            </c:numRef>
          </c:xVal>
          <c:yVal>
            <c:numRef>
              <c:f>System!$N$45</c:f>
              <c:numCache>
                <c:formatCode>0</c:formatCode>
                <c:ptCount val="1"/>
                <c:pt idx="0">
                  <c:v>62520.54296875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9B-4992-A556-39A4065E9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2.5000000000000005E-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  <c:max val="1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726286881510451"/>
          <c:y val="0.24077444864846434"/>
          <c:w val="0.56528177544346569"/>
          <c:h val="0.313093136085262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Pumps J4 &amp; J7 &amp; J10 -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4113263325622452"/>
          <c:y val="0.22816738816738816"/>
          <c:w val="0.79516493235029551"/>
          <c:h val="0.52257831407437705"/>
        </c:manualLayout>
      </c:layout>
      <c:scatterChart>
        <c:scatterStyle val="smoothMarker"/>
        <c:varyColors val="0"/>
        <c:ser>
          <c:idx val="2"/>
          <c:order val="0"/>
          <c:tx>
            <c:v>Pumps curve</c:v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System!$B$84:$B$91</c:f>
              <c:numCache>
                <c:formatCode>0.0000</c:formatCode>
                <c:ptCount val="8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  <c:pt idx="7">
                  <c:v>1.7500000000000002E-2</c:v>
                </c:pt>
              </c:numCache>
            </c:numRef>
          </c:xVal>
          <c:yVal>
            <c:numRef>
              <c:f>System!$C$84:$C$91</c:f>
              <c:numCache>
                <c:formatCode>0.00</c:formatCode>
                <c:ptCount val="8"/>
                <c:pt idx="0">
                  <c:v>11.48</c:v>
                </c:pt>
                <c:pt idx="1">
                  <c:v>11.86</c:v>
                </c:pt>
                <c:pt idx="2">
                  <c:v>11.97</c:v>
                </c:pt>
                <c:pt idx="3">
                  <c:v>11.79</c:v>
                </c:pt>
                <c:pt idx="4">
                  <c:v>11.33</c:v>
                </c:pt>
                <c:pt idx="5">
                  <c:v>10.6</c:v>
                </c:pt>
                <c:pt idx="6">
                  <c:v>9.58</c:v>
                </c:pt>
                <c:pt idx="7">
                  <c:v>8.2799999999999994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0"/>
          <c:order val="1"/>
          <c:tx>
            <c:v>Working point J4 &amp; J7 &amp; J10 </c:v>
          </c:tx>
          <c:spPr>
            <a:ln w="28575">
              <a:noFill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System!$Y$23</c:f>
              <c:numCache>
                <c:formatCode>0.00000</c:formatCode>
                <c:ptCount val="1"/>
                <c:pt idx="0">
                  <c:v>1.2972505497465486E-2</c:v>
                </c:pt>
              </c:numCache>
            </c:numRef>
          </c:xVal>
          <c:yVal>
            <c:numRef>
              <c:f>System!$N$84</c:f>
              <c:numCache>
                <c:formatCode>0.000</c:formatCode>
                <c:ptCount val="1"/>
                <c:pt idx="0">
                  <c:v>10.430870056152344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03-42FF-A425-4515D5A75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1.5000000000000003E-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  <c:majorUnit val="2.5000000000000005E-3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988072132261961"/>
          <c:y val="0.52533842360614014"/>
          <c:w val="0.48917220446350573"/>
          <c:h val="0.17604890297803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 J15 &amp; J18</a:t>
            </a:r>
            <a:r>
              <a:rPr lang="fr-FR" sz="1200" baseline="0"/>
              <a:t>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2406454622901203"/>
          <c:y val="0.20926631646818744"/>
          <c:w val="0.7210314320260921"/>
          <c:h val="0.62685300701048718"/>
        </c:manualLayout>
      </c:layout>
      <c:scatterChart>
        <c:scatterStyle val="smoothMarker"/>
        <c:varyColors val="0"/>
        <c:ser>
          <c:idx val="3"/>
          <c:order val="0"/>
          <c:tx>
            <c:v>Heat exchanger curve J15 &amp; J18</c:v>
          </c:tx>
          <c:spPr>
            <a:ln w="28575">
              <a:solidFill>
                <a:schemeClr val="accent4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System!$B$72:$B$79</c:f>
              <c:numCache>
                <c:formatCode>0.0000</c:formatCode>
                <c:ptCount val="8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</c:numCache>
            </c:numRef>
          </c:xVal>
          <c:yVal>
            <c:numRef>
              <c:f>System!$C$72:$C$79</c:f>
              <c:numCache>
                <c:formatCode>0</c:formatCode>
                <c:ptCount val="8"/>
                <c:pt idx="0">
                  <c:v>0</c:v>
                </c:pt>
                <c:pt idx="1">
                  <c:v>1246</c:v>
                </c:pt>
                <c:pt idx="2">
                  <c:v>12761</c:v>
                </c:pt>
                <c:pt idx="3">
                  <c:v>34545</c:v>
                </c:pt>
                <c:pt idx="4">
                  <c:v>66596</c:v>
                </c:pt>
                <c:pt idx="5">
                  <c:v>108916</c:v>
                </c:pt>
                <c:pt idx="6">
                  <c:v>161503</c:v>
                </c:pt>
                <c:pt idx="7">
                  <c:v>224359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F5-4D88-91AE-3A7A678D0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2.5000000000000005E-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  <c:max val="1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Pumps J4 &amp; J7 &amp; J10 -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4113263325622452"/>
          <c:y val="0.22816738816738816"/>
          <c:w val="0.79516493235029551"/>
          <c:h val="0.52257831407437705"/>
        </c:manualLayout>
      </c:layout>
      <c:scatterChart>
        <c:scatterStyle val="smoothMarker"/>
        <c:varyColors val="0"/>
        <c:ser>
          <c:idx val="2"/>
          <c:order val="0"/>
          <c:tx>
            <c:v>Pumps curve</c:v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System!$B$84:$B$91</c:f>
              <c:numCache>
                <c:formatCode>0.0000</c:formatCode>
                <c:ptCount val="8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  <c:pt idx="7">
                  <c:v>1.7500000000000002E-2</c:v>
                </c:pt>
              </c:numCache>
            </c:numRef>
          </c:xVal>
          <c:yVal>
            <c:numRef>
              <c:f>System!$C$84:$C$91</c:f>
              <c:numCache>
                <c:formatCode>0.00</c:formatCode>
                <c:ptCount val="8"/>
                <c:pt idx="0">
                  <c:v>11.48</c:v>
                </c:pt>
                <c:pt idx="1">
                  <c:v>11.86</c:v>
                </c:pt>
                <c:pt idx="2">
                  <c:v>11.97</c:v>
                </c:pt>
                <c:pt idx="3">
                  <c:v>11.79</c:v>
                </c:pt>
                <c:pt idx="4">
                  <c:v>11.33</c:v>
                </c:pt>
                <c:pt idx="5">
                  <c:v>10.6</c:v>
                </c:pt>
                <c:pt idx="6">
                  <c:v>9.58</c:v>
                </c:pt>
                <c:pt idx="7">
                  <c:v>8.2799999999999994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86-426C-87E4-86D6923EB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  <c:max val="1.5000000000000003E-2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  <c:majorUnit val="2.5000000000000005E-3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100853</xdr:colOff>
      <xdr:row>14</xdr:row>
      <xdr:rowOff>78441</xdr:rowOff>
    </xdr:from>
    <xdr:to>
      <xdr:col>12</xdr:col>
      <xdr:colOff>459441</xdr:colOff>
      <xdr:row>43</xdr:row>
      <xdr:rowOff>78833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853" y="2078691"/>
          <a:ext cx="7216588" cy="5524892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18539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2088820-A31C-42DB-B4B5-F1097D25B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56421"/>
        </a:xfrm>
        <a:prstGeom prst="rect">
          <a:avLst/>
        </a:prstGeom>
      </xdr:spPr>
    </xdr:pic>
    <xdr:clientData/>
  </xdr:twoCellAnchor>
  <xdr:twoCellAnchor editAs="oneCell">
    <xdr:from>
      <xdr:col>19</xdr:col>
      <xdr:colOff>17617</xdr:colOff>
      <xdr:row>12</xdr:row>
      <xdr:rowOff>22412</xdr:rowOff>
    </xdr:from>
    <xdr:to>
      <xdr:col>23</xdr:col>
      <xdr:colOff>582706</xdr:colOff>
      <xdr:row>16</xdr:row>
      <xdr:rowOff>5984</xdr:rowOff>
    </xdr:to>
    <xdr:pic>
      <xdr:nvPicPr>
        <xdr:cNvPr id="6" name="Image 7">
          <a:extLst>
            <a:ext uri="{FF2B5EF4-FFF2-40B4-BE49-F238E27FC236}">
              <a16:creationId xmlns:a16="http://schemas.microsoft.com/office/drawing/2014/main" id="{C85F2BEB-9EDA-4A18-B12C-2A89E096BA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3"/>
        <a:stretch/>
      </xdr:blipFill>
      <xdr:spPr>
        <a:xfrm>
          <a:off x="11828617" y="2588559"/>
          <a:ext cx="3613089" cy="8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22683</xdr:colOff>
      <xdr:row>19</xdr:row>
      <xdr:rowOff>11206</xdr:rowOff>
    </xdr:from>
    <xdr:to>
      <xdr:col>23</xdr:col>
      <xdr:colOff>31826</xdr:colOff>
      <xdr:row>24</xdr:row>
      <xdr:rowOff>68230</xdr:rowOff>
    </xdr:to>
    <xdr:pic>
      <xdr:nvPicPr>
        <xdr:cNvPr id="7" name="Image 8">
          <a:extLst>
            <a:ext uri="{FF2B5EF4-FFF2-40B4-BE49-F238E27FC236}">
              <a16:creationId xmlns:a16="http://schemas.microsoft.com/office/drawing/2014/main" id="{C3E0003E-6094-42CB-AB8E-0CE42AAEA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33683" y="3910853"/>
          <a:ext cx="3057143" cy="1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272</xdr:row>
      <xdr:rowOff>0</xdr:rowOff>
    </xdr:from>
    <xdr:to>
      <xdr:col>26</xdr:col>
      <xdr:colOff>94571</xdr:colOff>
      <xdr:row>301</xdr:row>
      <xdr:rowOff>180262</xdr:rowOff>
    </xdr:to>
    <xdr:pic>
      <xdr:nvPicPr>
        <xdr:cNvPr id="23" name="Image 26">
          <a:extLst>
            <a:ext uri="{FF2B5EF4-FFF2-40B4-BE49-F238E27FC236}">
              <a16:creationId xmlns:a16="http://schemas.microsoft.com/office/drawing/2014/main" id="{A8F73D34-C780-4BBD-8127-54454014F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50885912"/>
          <a:ext cx="5428571" cy="57047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305</xdr:row>
      <xdr:rowOff>0</xdr:rowOff>
    </xdr:from>
    <xdr:to>
      <xdr:col>26</xdr:col>
      <xdr:colOff>180286</xdr:colOff>
      <xdr:row>324</xdr:row>
      <xdr:rowOff>47167</xdr:rowOff>
    </xdr:to>
    <xdr:pic>
      <xdr:nvPicPr>
        <xdr:cNvPr id="24" name="Image 28">
          <a:extLst>
            <a:ext uri="{FF2B5EF4-FFF2-40B4-BE49-F238E27FC236}">
              <a16:creationId xmlns:a16="http://schemas.microsoft.com/office/drawing/2014/main" id="{C4042EB6-A55E-49A7-BD18-7B0E4A746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57172412"/>
          <a:ext cx="5514286" cy="366666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26</xdr:col>
      <xdr:colOff>8857</xdr:colOff>
      <xdr:row>30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9493E1-E05E-414F-9596-6B2EE3E38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11000" y="5423647"/>
          <a:ext cx="5342857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26</xdr:col>
      <xdr:colOff>8857</xdr:colOff>
      <xdr:row>61</xdr:row>
      <xdr:rowOff>21200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91DB59-D8B7-440B-BAC8-BA52064C4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6757147"/>
          <a:ext cx="5342857" cy="5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28</xdr:col>
      <xdr:colOff>8667</xdr:colOff>
      <xdr:row>72</xdr:row>
      <xdr:rowOff>85524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D7DFDF57-A6AE-4300-995B-D8460ACAC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811000" y="12516971"/>
          <a:ext cx="6866667" cy="1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28</xdr:col>
      <xdr:colOff>8667</xdr:colOff>
      <xdr:row>102</xdr:row>
      <xdr:rowOff>123629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F01F5CA1-DE58-4534-8628-048910D19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11000" y="17660471"/>
          <a:ext cx="6866667" cy="2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28</xdr:col>
      <xdr:colOff>8667</xdr:colOff>
      <xdr:row>87</xdr:row>
      <xdr:rowOff>104419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F23EF756-96ED-4AAA-8D33-2E61C1658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11000" y="14802971"/>
          <a:ext cx="6866667" cy="2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30</xdr:col>
      <xdr:colOff>75143</xdr:colOff>
      <xdr:row>157</xdr:row>
      <xdr:rowOff>23207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B344040A-C786-4D3B-B7E6-148EDDB6A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11000" y="21560118"/>
          <a:ext cx="8457143" cy="9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28</xdr:col>
      <xdr:colOff>75333</xdr:colOff>
      <xdr:row>170</xdr:row>
      <xdr:rowOff>95024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94F0D3A3-DCCC-4B97-9391-C72544AD2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11000" y="31185971"/>
          <a:ext cx="6933333" cy="1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27</xdr:col>
      <xdr:colOff>75429</xdr:colOff>
      <xdr:row>176</xdr:row>
      <xdr:rowOff>28524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6429AD9D-5390-4B96-B490-908FC4BFD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811000" y="33662471"/>
          <a:ext cx="6171429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25</xdr:col>
      <xdr:colOff>8952</xdr:colOff>
      <xdr:row>225</xdr:row>
      <xdr:rowOff>8524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AEB39694-746E-48E3-928D-894B3BA88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811000" y="35410588"/>
          <a:ext cx="4580952" cy="8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228</xdr:row>
      <xdr:rowOff>0</xdr:rowOff>
    </xdr:from>
    <xdr:to>
      <xdr:col>26</xdr:col>
      <xdr:colOff>8857</xdr:colOff>
      <xdr:row>235</xdr:row>
      <xdr:rowOff>76024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78C77227-CA9C-4CEB-AC11-801827092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1811000" y="43983088"/>
          <a:ext cx="5342857" cy="1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327</xdr:row>
      <xdr:rowOff>0</xdr:rowOff>
    </xdr:from>
    <xdr:to>
      <xdr:col>24</xdr:col>
      <xdr:colOff>294762</xdr:colOff>
      <xdr:row>337</xdr:row>
      <xdr:rowOff>142619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A72C7F57-E8D2-4DF2-B724-C0606A13F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811000" y="62125412"/>
          <a:ext cx="4104762" cy="2047619"/>
        </a:xfrm>
        <a:prstGeom prst="rect">
          <a:avLst/>
        </a:prstGeom>
      </xdr:spPr>
    </xdr:pic>
    <xdr:clientData/>
  </xdr:twoCellAnchor>
  <xdr:twoCellAnchor editAs="oneCell">
    <xdr:from>
      <xdr:col>19</xdr:col>
      <xdr:colOff>54429</xdr:colOff>
      <xdr:row>243</xdr:row>
      <xdr:rowOff>0</xdr:rowOff>
    </xdr:from>
    <xdr:to>
      <xdr:col>24</xdr:col>
      <xdr:colOff>311096</xdr:colOff>
      <xdr:row>253</xdr:row>
      <xdr:rowOff>161667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9557C297-C5D1-457B-B30A-9310FE521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1865429" y="46645286"/>
          <a:ext cx="4066667" cy="206666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23470</xdr:colOff>
      <xdr:row>109</xdr:row>
      <xdr:rowOff>134710</xdr:rowOff>
    </xdr:from>
    <xdr:to>
      <xdr:col>9</xdr:col>
      <xdr:colOff>108708</xdr:colOff>
      <xdr:row>115</xdr:row>
      <xdr:rowOff>175783</xdr:rowOff>
    </xdr:to>
    <xdr:pic>
      <xdr:nvPicPr>
        <xdr:cNvPr id="20" name="Image 1">
          <a:extLst>
            <a:ext uri="{FF2B5EF4-FFF2-40B4-BE49-F238E27FC236}">
              <a16:creationId xmlns:a16="http://schemas.microsoft.com/office/drawing/2014/main" id="{31A046D6-78D6-43C9-8981-066056B81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47470" y="18109746"/>
          <a:ext cx="3895238" cy="11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0</xdr:colOff>
      <xdr:row>122</xdr:row>
      <xdr:rowOff>57150</xdr:rowOff>
    </xdr:from>
    <xdr:to>
      <xdr:col>8</xdr:col>
      <xdr:colOff>390143</xdr:colOff>
      <xdr:row>124</xdr:row>
      <xdr:rowOff>92077</xdr:rowOff>
    </xdr:to>
    <xdr:pic>
      <xdr:nvPicPr>
        <xdr:cNvPr id="21" name="Image 2">
          <a:extLst>
            <a:ext uri="{FF2B5EF4-FFF2-40B4-BE49-F238E27FC236}">
              <a16:creationId xmlns:a16="http://schemas.microsoft.com/office/drawing/2014/main" id="{4C2216EF-9AEE-41FC-BB14-9F07F56AA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905000" y="24698325"/>
          <a:ext cx="30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640773</xdr:colOff>
      <xdr:row>4</xdr:row>
      <xdr:rowOff>103910</xdr:rowOff>
    </xdr:from>
    <xdr:to>
      <xdr:col>10</xdr:col>
      <xdr:colOff>525985</xdr:colOff>
      <xdr:row>15</xdr:row>
      <xdr:rowOff>182218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640773</xdr:colOff>
      <xdr:row>16</xdr:row>
      <xdr:rowOff>138546</xdr:rowOff>
    </xdr:from>
    <xdr:to>
      <xdr:col>10</xdr:col>
      <xdr:colOff>525985</xdr:colOff>
      <xdr:row>27</xdr:row>
      <xdr:rowOff>182217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18539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86B5263-D278-4037-9957-75F47F6B7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11</xdr:col>
      <xdr:colOff>155863</xdr:colOff>
      <xdr:row>4</xdr:row>
      <xdr:rowOff>173182</xdr:rowOff>
    </xdr:from>
    <xdr:to>
      <xdr:col>20</xdr:col>
      <xdr:colOff>611580</xdr:colOff>
      <xdr:row>32</xdr:row>
      <xdr:rowOff>179764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58086A-0389-4EBA-9C65-E698B5F44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37863" y="1073727"/>
          <a:ext cx="7382990" cy="5756219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  <xdr:twoCellAnchor>
    <xdr:from>
      <xdr:col>4</xdr:col>
      <xdr:colOff>0</xdr:colOff>
      <xdr:row>68</xdr:row>
      <xdr:rowOff>6</xdr:rowOff>
    </xdr:from>
    <xdr:to>
      <xdr:col>9</xdr:col>
      <xdr:colOff>750794</xdr:colOff>
      <xdr:row>78</xdr:row>
      <xdr:rowOff>190501</xdr:rowOff>
    </xdr:to>
    <xdr:graphicFrame macro="">
      <xdr:nvGraphicFramePr>
        <xdr:cNvPr id="9" name="Graphique 6">
          <a:extLst>
            <a:ext uri="{FF2B5EF4-FFF2-40B4-BE49-F238E27FC236}">
              <a16:creationId xmlns:a16="http://schemas.microsoft.com/office/drawing/2014/main" id="{AE7F731E-3B45-48B8-9F1B-01E5E8836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80</xdr:row>
      <xdr:rowOff>12751</xdr:rowOff>
    </xdr:from>
    <xdr:to>
      <xdr:col>9</xdr:col>
      <xdr:colOff>750794</xdr:colOff>
      <xdr:row>91</xdr:row>
      <xdr:rowOff>0</xdr:rowOff>
    </xdr:to>
    <xdr:graphicFrame macro="">
      <xdr:nvGraphicFramePr>
        <xdr:cNvPr id="10" name="Graphique 7">
          <a:extLst>
            <a:ext uri="{FF2B5EF4-FFF2-40B4-BE49-F238E27FC236}">
              <a16:creationId xmlns:a16="http://schemas.microsoft.com/office/drawing/2014/main" id="{424C3420-9ED6-4255-BAED-B30D25590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326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5" s="3" customFormat="1" ht="21" x14ac:dyDescent="0.35">
      <c r="C2" s="4"/>
      <c r="G2" s="30" t="s">
        <v>46</v>
      </c>
    </row>
    <row r="3" spans="2:25" ht="21" x14ac:dyDescent="0.35">
      <c r="G3" s="30" t="s">
        <v>107</v>
      </c>
    </row>
    <row r="4" spans="2:25" x14ac:dyDescent="0.25">
      <c r="B4" s="48" t="s">
        <v>225</v>
      </c>
    </row>
    <row r="5" spans="2:25" x14ac:dyDescent="0.25">
      <c r="B5" s="31" t="s">
        <v>78</v>
      </c>
      <c r="L5" s="2"/>
    </row>
    <row r="6" spans="2:25" x14ac:dyDescent="0.25">
      <c r="B6" s="31"/>
    </row>
    <row r="7" spans="2:25" ht="18.75" x14ac:dyDescent="0.3">
      <c r="B7" s="71" t="s">
        <v>339</v>
      </c>
      <c r="F7" s="72" t="s">
        <v>226</v>
      </c>
      <c r="Q7" s="70" t="s">
        <v>236</v>
      </c>
    </row>
    <row r="8" spans="2:25" ht="19.5" thickBot="1" x14ac:dyDescent="0.35">
      <c r="B8" s="31"/>
      <c r="G8" s="72" t="s">
        <v>227</v>
      </c>
    </row>
    <row r="9" spans="2:25" ht="15" customHeight="1" thickBot="1" x14ac:dyDescent="0.35">
      <c r="B9" s="31"/>
      <c r="F9" s="72"/>
      <c r="R9" s="73" t="s">
        <v>237</v>
      </c>
      <c r="Y9" s="33"/>
    </row>
    <row r="10" spans="2:25" ht="18.75" x14ac:dyDescent="0.3">
      <c r="B10" s="31"/>
      <c r="F10" s="88" t="s">
        <v>340</v>
      </c>
    </row>
    <row r="11" spans="2:25" ht="18.75" x14ac:dyDescent="0.3">
      <c r="B11" s="31"/>
      <c r="F11" s="88" t="s">
        <v>341</v>
      </c>
      <c r="S11" s="64" t="s">
        <v>238</v>
      </c>
    </row>
    <row r="12" spans="2:25" ht="18.75" x14ac:dyDescent="0.3">
      <c r="B12" s="31"/>
      <c r="F12" s="32"/>
      <c r="G12" s="72" t="s">
        <v>342</v>
      </c>
    </row>
    <row r="13" spans="2:25" ht="18.75" x14ac:dyDescent="0.3">
      <c r="B13" s="31"/>
      <c r="F13" s="72"/>
    </row>
    <row r="16" spans="2:25" x14ac:dyDescent="0.25">
      <c r="V16" s="74"/>
    </row>
    <row r="18" spans="19:27" x14ac:dyDescent="0.25">
      <c r="S18" s="64" t="s">
        <v>257</v>
      </c>
    </row>
    <row r="23" spans="19:27" x14ac:dyDescent="0.25">
      <c r="AA23" s="49"/>
    </row>
    <row r="24" spans="19:27" x14ac:dyDescent="0.25">
      <c r="AA24" s="49"/>
    </row>
    <row r="26" spans="19:27" x14ac:dyDescent="0.25">
      <c r="S26" s="64" t="s">
        <v>239</v>
      </c>
    </row>
    <row r="33" spans="2:19" x14ac:dyDescent="0.25">
      <c r="S33" s="64" t="s">
        <v>240</v>
      </c>
    </row>
    <row r="45" spans="2:19" ht="18.75" x14ac:dyDescent="0.3">
      <c r="B45" s="70" t="s">
        <v>209</v>
      </c>
    </row>
    <row r="47" spans="2:19" x14ac:dyDescent="0.25">
      <c r="C47" t="s">
        <v>210</v>
      </c>
    </row>
    <row r="49" spans="4:19" x14ac:dyDescent="0.25">
      <c r="D49" t="s">
        <v>228</v>
      </c>
      <c r="I49" t="s">
        <v>233</v>
      </c>
    </row>
    <row r="50" spans="4:19" x14ac:dyDescent="0.25">
      <c r="E50" t="s">
        <v>211</v>
      </c>
      <c r="J50" t="s">
        <v>213</v>
      </c>
    </row>
    <row r="51" spans="4:19" x14ac:dyDescent="0.25">
      <c r="E51" t="s">
        <v>212</v>
      </c>
      <c r="J51" t="s">
        <v>215</v>
      </c>
    </row>
    <row r="52" spans="4:19" x14ac:dyDescent="0.25">
      <c r="D52" t="s">
        <v>229</v>
      </c>
      <c r="I52" t="s">
        <v>234</v>
      </c>
    </row>
    <row r="53" spans="4:19" x14ac:dyDescent="0.25">
      <c r="E53" t="s">
        <v>213</v>
      </c>
      <c r="J53" t="s">
        <v>213</v>
      </c>
    </row>
    <row r="54" spans="4:19" x14ac:dyDescent="0.25">
      <c r="E54" t="s">
        <v>212</v>
      </c>
      <c r="J54" t="s">
        <v>216</v>
      </c>
    </row>
    <row r="55" spans="4:19" x14ac:dyDescent="0.25">
      <c r="D55" t="s">
        <v>230</v>
      </c>
      <c r="I55" t="s">
        <v>235</v>
      </c>
    </row>
    <row r="56" spans="4:19" x14ac:dyDescent="0.25">
      <c r="E56" t="s">
        <v>211</v>
      </c>
      <c r="J56" t="s">
        <v>211</v>
      </c>
    </row>
    <row r="57" spans="4:19" x14ac:dyDescent="0.25">
      <c r="E57" t="s">
        <v>214</v>
      </c>
      <c r="J57" t="s">
        <v>217</v>
      </c>
    </row>
    <row r="58" spans="4:19" x14ac:dyDescent="0.25">
      <c r="D58" t="s">
        <v>231</v>
      </c>
      <c r="I58" t="s">
        <v>218</v>
      </c>
    </row>
    <row r="59" spans="4:19" x14ac:dyDescent="0.25">
      <c r="E59" t="s">
        <v>213</v>
      </c>
      <c r="J59" t="s">
        <v>219</v>
      </c>
    </row>
    <row r="60" spans="4:19" x14ac:dyDescent="0.25">
      <c r="E60" t="s">
        <v>214</v>
      </c>
      <c r="J60" t="s">
        <v>220</v>
      </c>
    </row>
    <row r="61" spans="4:19" x14ac:dyDescent="0.25">
      <c r="D61" t="s">
        <v>232</v>
      </c>
      <c r="J61" t="s">
        <v>221</v>
      </c>
    </row>
    <row r="62" spans="4:19" x14ac:dyDescent="0.25">
      <c r="E62" t="s">
        <v>211</v>
      </c>
      <c r="I62" t="s">
        <v>222</v>
      </c>
    </row>
    <row r="63" spans="4:19" x14ac:dyDescent="0.25">
      <c r="E63" t="s">
        <v>215</v>
      </c>
      <c r="J63" t="s">
        <v>223</v>
      </c>
      <c r="S63" s="64" t="s">
        <v>241</v>
      </c>
    </row>
    <row r="64" spans="4:19" x14ac:dyDescent="0.25">
      <c r="J64" t="s">
        <v>224</v>
      </c>
    </row>
    <row r="65" spans="2:19" x14ac:dyDescent="0.25">
      <c r="C65" t="s">
        <v>261</v>
      </c>
    </row>
    <row r="67" spans="2:19" x14ac:dyDescent="0.25">
      <c r="D67" t="s">
        <v>262</v>
      </c>
    </row>
    <row r="68" spans="2:19" x14ac:dyDescent="0.25">
      <c r="D68" t="s">
        <v>285</v>
      </c>
    </row>
    <row r="69" spans="2:19" x14ac:dyDescent="0.25">
      <c r="D69" t="s">
        <v>263</v>
      </c>
    </row>
    <row r="70" spans="2:19" x14ac:dyDescent="0.25">
      <c r="D70" t="s">
        <v>264</v>
      </c>
    </row>
    <row r="71" spans="2:19" x14ac:dyDescent="0.25">
      <c r="D71" t="s">
        <v>291</v>
      </c>
    </row>
    <row r="72" spans="2:19" x14ac:dyDescent="0.25">
      <c r="D72" t="s">
        <v>292</v>
      </c>
    </row>
    <row r="75" spans="2:19" ht="18.75" x14ac:dyDescent="0.3">
      <c r="B75" s="70" t="s">
        <v>265</v>
      </c>
      <c r="S75" s="64" t="s">
        <v>242</v>
      </c>
    </row>
    <row r="77" spans="2:19" x14ac:dyDescent="0.25">
      <c r="C77" t="s">
        <v>288</v>
      </c>
    </row>
    <row r="78" spans="2:19" x14ac:dyDescent="0.25">
      <c r="D78" t="s">
        <v>289</v>
      </c>
    </row>
    <row r="80" spans="2:19" x14ac:dyDescent="0.25">
      <c r="C80" t="s">
        <v>266</v>
      </c>
    </row>
    <row r="82" spans="3:19" x14ac:dyDescent="0.25">
      <c r="C82" t="s">
        <v>300</v>
      </c>
    </row>
    <row r="83" spans="3:19" x14ac:dyDescent="0.25">
      <c r="D83" t="s">
        <v>301</v>
      </c>
    </row>
    <row r="85" spans="3:19" x14ac:dyDescent="0.25">
      <c r="C85" t="s">
        <v>293</v>
      </c>
    </row>
    <row r="87" spans="3:19" x14ac:dyDescent="0.25">
      <c r="C87" t="s">
        <v>294</v>
      </c>
    </row>
    <row r="88" spans="3:19" x14ac:dyDescent="0.25">
      <c r="D88" t="s">
        <v>295</v>
      </c>
    </row>
    <row r="89" spans="3:19" x14ac:dyDescent="0.25">
      <c r="D89" t="s">
        <v>296</v>
      </c>
    </row>
    <row r="90" spans="3:19" x14ac:dyDescent="0.25">
      <c r="D90" t="s">
        <v>297</v>
      </c>
      <c r="S90" s="64" t="s">
        <v>258</v>
      </c>
    </row>
    <row r="91" spans="3:19" x14ac:dyDescent="0.25">
      <c r="D91" t="s">
        <v>298</v>
      </c>
    </row>
    <row r="93" spans="3:19" x14ac:dyDescent="0.25">
      <c r="C93" t="s">
        <v>299</v>
      </c>
    </row>
    <row r="95" spans="3:19" x14ac:dyDescent="0.25">
      <c r="C95" t="s">
        <v>267</v>
      </c>
    </row>
    <row r="96" spans="3:19" x14ac:dyDescent="0.25">
      <c r="D96" t="s">
        <v>290</v>
      </c>
    </row>
    <row r="98" spans="2:30" x14ac:dyDescent="0.25">
      <c r="C98" t="s">
        <v>269</v>
      </c>
    </row>
    <row r="100" spans="2:30" x14ac:dyDescent="0.25">
      <c r="C100" t="s">
        <v>268</v>
      </c>
    </row>
    <row r="103" spans="2:30" ht="18.75" x14ac:dyDescent="0.3">
      <c r="B103" s="70" t="s">
        <v>270</v>
      </c>
    </row>
    <row r="105" spans="2:30" x14ac:dyDescent="0.25">
      <c r="C105" t="s">
        <v>271</v>
      </c>
    </row>
    <row r="106" spans="2:30" ht="15.75" thickBot="1" x14ac:dyDescent="0.3">
      <c r="D106" t="s">
        <v>272</v>
      </c>
    </row>
    <row r="107" spans="2:30" ht="16.5" thickBot="1" x14ac:dyDescent="0.3">
      <c r="D107" t="s">
        <v>273</v>
      </c>
      <c r="R107" s="73" t="s">
        <v>243</v>
      </c>
      <c r="AD107" s="36"/>
    </row>
    <row r="108" spans="2:30" x14ac:dyDescent="0.25">
      <c r="D108" t="s">
        <v>274</v>
      </c>
      <c r="S108" t="s">
        <v>244</v>
      </c>
    </row>
    <row r="109" spans="2:30" x14ac:dyDescent="0.25">
      <c r="D109" t="s">
        <v>283</v>
      </c>
    </row>
    <row r="110" spans="2:30" x14ac:dyDescent="0.25">
      <c r="S110" s="64" t="s">
        <v>245</v>
      </c>
    </row>
    <row r="118" spans="3:6" x14ac:dyDescent="0.25">
      <c r="C118" t="s">
        <v>275</v>
      </c>
    </row>
    <row r="119" spans="3:6" x14ac:dyDescent="0.25">
      <c r="D119" t="s">
        <v>276</v>
      </c>
    </row>
    <row r="120" spans="3:6" x14ac:dyDescent="0.25">
      <c r="E120" t="s">
        <v>277</v>
      </c>
    </row>
    <row r="121" spans="3:6" x14ac:dyDescent="0.25">
      <c r="F121" t="s">
        <v>278</v>
      </c>
    </row>
    <row r="122" spans="3:6" x14ac:dyDescent="0.25">
      <c r="F122" t="s">
        <v>279</v>
      </c>
    </row>
    <row r="126" spans="3:6" x14ac:dyDescent="0.25">
      <c r="E126" t="s">
        <v>280</v>
      </c>
    </row>
    <row r="127" spans="3:6" x14ac:dyDescent="0.25">
      <c r="F127" t="s">
        <v>281</v>
      </c>
    </row>
    <row r="130" spans="2:9" ht="18.75" x14ac:dyDescent="0.3">
      <c r="B130" s="70" t="s">
        <v>282</v>
      </c>
    </row>
    <row r="131" spans="2:9" ht="15.75" thickBot="1" x14ac:dyDescent="0.3"/>
    <row r="132" spans="2:9" ht="16.5" thickTop="1" thickBot="1" x14ac:dyDescent="0.3">
      <c r="F132" s="84" t="s">
        <v>77</v>
      </c>
      <c r="G132" s="85"/>
      <c r="H132" s="85"/>
      <c r="I132" s="86"/>
    </row>
    <row r="133" spans="2:9" ht="16.5" thickTop="1" thickBot="1" x14ac:dyDescent="0.3">
      <c r="F133" s="75" t="s">
        <v>17</v>
      </c>
      <c r="G133" s="76" t="s">
        <v>21</v>
      </c>
      <c r="H133" s="76" t="s">
        <v>338</v>
      </c>
      <c r="I133" s="77" t="s">
        <v>20</v>
      </c>
    </row>
    <row r="134" spans="2:9" ht="15.75" thickTop="1" x14ac:dyDescent="0.25">
      <c r="F134" s="13" t="s">
        <v>25</v>
      </c>
      <c r="G134" s="78">
        <f>46.34/3600</f>
        <v>1.2872222222222222E-2</v>
      </c>
      <c r="H134" s="79">
        <f>Q_J4</f>
        <v>1.289597194337661E-2</v>
      </c>
      <c r="I134" s="24">
        <f>(G134-H134)/G134</f>
        <v>-1.8450366024125283E-3</v>
      </c>
    </row>
    <row r="135" spans="2:9" x14ac:dyDescent="0.25">
      <c r="F135" s="25" t="s">
        <v>26</v>
      </c>
      <c r="G135" s="80">
        <f>47.32/3600</f>
        <v>1.3144444444444445E-2</v>
      </c>
      <c r="H135" s="81">
        <f>Q_J7</f>
        <v>1.3020411448046791E-2</v>
      </c>
      <c r="I135" s="26">
        <f>(G135-H135)/G135</f>
        <v>9.4361535720953425E-3</v>
      </c>
    </row>
    <row r="136" spans="2:9" ht="15.75" thickBot="1" x14ac:dyDescent="0.3">
      <c r="F136" s="11" t="s">
        <v>51</v>
      </c>
      <c r="G136" s="82">
        <f>46.34/3600</f>
        <v>1.2872222222222222E-2</v>
      </c>
      <c r="H136" s="83">
        <f>Q_J10</f>
        <v>1.2972505497465486E-2</v>
      </c>
      <c r="I136" s="12">
        <f>(G136-H136)/G136</f>
        <v>-7.7906730875215548E-3</v>
      </c>
    </row>
    <row r="137" spans="2:9" ht="16.5" thickTop="1" thickBot="1" x14ac:dyDescent="0.3"/>
    <row r="138" spans="2:9" ht="16.5" thickTop="1" thickBot="1" x14ac:dyDescent="0.3">
      <c r="F138" s="84" t="s">
        <v>45</v>
      </c>
      <c r="G138" s="85"/>
      <c r="H138" s="85"/>
      <c r="I138" s="86"/>
    </row>
    <row r="139" spans="2:9" ht="16.5" thickTop="1" thickBot="1" x14ac:dyDescent="0.3">
      <c r="F139" s="75" t="s">
        <v>17</v>
      </c>
      <c r="G139" s="76" t="s">
        <v>21</v>
      </c>
      <c r="H139" s="76" t="s">
        <v>338</v>
      </c>
      <c r="I139" s="77" t="s">
        <v>20</v>
      </c>
    </row>
    <row r="140" spans="2:9" ht="15.75" thickTop="1" x14ac:dyDescent="0.25">
      <c r="F140" s="9" t="s">
        <v>53</v>
      </c>
      <c r="G140" s="17">
        <v>9.9640000000000004</v>
      </c>
      <c r="H140" s="19">
        <f>K_J14</f>
        <v>9.9442909579519068</v>
      </c>
      <c r="I140" s="10">
        <f>(G140-H140)/G140</f>
        <v>1.978025095151912E-3</v>
      </c>
    </row>
    <row r="141" spans="2:9" ht="15.75" thickBot="1" x14ac:dyDescent="0.3">
      <c r="F141" s="11" t="s">
        <v>54</v>
      </c>
      <c r="G141" s="18">
        <v>8.7520000000000007</v>
      </c>
      <c r="H141" s="20">
        <f>K_J17</f>
        <v>8.8608785220876438</v>
      </c>
      <c r="I141" s="12">
        <f>(G141-H141)/G141</f>
        <v>-1.2440416143469281E-2</v>
      </c>
    </row>
    <row r="142" spans="2:9" ht="15.75" thickTop="1" x14ac:dyDescent="0.25"/>
    <row r="160" spans="19:19" x14ac:dyDescent="0.25">
      <c r="S160" s="64" t="s">
        <v>246</v>
      </c>
    </row>
    <row r="173" spans="19:19" x14ac:dyDescent="0.25">
      <c r="S173" s="64" t="s">
        <v>247</v>
      </c>
    </row>
    <row r="178" spans="18:28" ht="15.75" thickBot="1" x14ac:dyDescent="0.3"/>
    <row r="179" spans="18:28" ht="16.5" thickBot="1" x14ac:dyDescent="0.3">
      <c r="R179" s="73" t="s">
        <v>248</v>
      </c>
      <c r="AB179" s="35"/>
    </row>
    <row r="180" spans="18:28" x14ac:dyDescent="0.25">
      <c r="S180" t="s">
        <v>244</v>
      </c>
    </row>
    <row r="182" spans="18:28" x14ac:dyDescent="0.25">
      <c r="S182" s="64" t="s">
        <v>249</v>
      </c>
    </row>
    <row r="227" spans="18:19" x14ac:dyDescent="0.25">
      <c r="S227" s="64" t="s">
        <v>259</v>
      </c>
    </row>
    <row r="238" spans="18:19" ht="15.75" x14ac:dyDescent="0.25">
      <c r="R238" s="73" t="s">
        <v>250</v>
      </c>
    </row>
    <row r="240" spans="18:19" x14ac:dyDescent="0.25">
      <c r="S240" t="s">
        <v>284</v>
      </c>
    </row>
    <row r="241" spans="20:20" x14ac:dyDescent="0.25">
      <c r="T241" t="s">
        <v>286</v>
      </c>
    </row>
    <row r="242" spans="20:20" x14ac:dyDescent="0.25">
      <c r="T242" t="s">
        <v>287</v>
      </c>
    </row>
    <row r="256" spans="20:20" x14ac:dyDescent="0.25">
      <c r="T256" t="s">
        <v>251</v>
      </c>
    </row>
    <row r="257" spans="19:22" ht="15.75" thickBot="1" x14ac:dyDescent="0.3"/>
    <row r="258" spans="19:22" ht="15.75" thickBot="1" x14ac:dyDescent="0.3">
      <c r="T258" s="58" t="s">
        <v>27</v>
      </c>
      <c r="U258" s="63">
        <v>0.01</v>
      </c>
      <c r="V258" s="63">
        <v>1.4999999999999999E-2</v>
      </c>
    </row>
    <row r="259" spans="19:22" ht="15.75" thickBot="1" x14ac:dyDescent="0.3">
      <c r="T259" s="58" t="s">
        <v>28</v>
      </c>
      <c r="U259" s="63">
        <v>0.01</v>
      </c>
      <c r="V259" s="63">
        <v>1.4999999999999999E-2</v>
      </c>
    </row>
    <row r="260" spans="19:22" ht="15.75" thickBot="1" x14ac:dyDescent="0.3">
      <c r="T260" s="58" t="s">
        <v>63</v>
      </c>
      <c r="U260" s="69">
        <v>10</v>
      </c>
      <c r="V260" s="69">
        <v>100</v>
      </c>
    </row>
    <row r="261" spans="19:22" ht="15.75" thickBot="1" x14ac:dyDescent="0.3">
      <c r="T261" s="58" t="s">
        <v>64</v>
      </c>
      <c r="U261" s="69">
        <v>10</v>
      </c>
      <c r="V261" s="69">
        <v>100</v>
      </c>
    </row>
    <row r="263" spans="19:22" x14ac:dyDescent="0.25">
      <c r="S263" t="s">
        <v>252</v>
      </c>
    </row>
    <row r="264" spans="19:22" x14ac:dyDescent="0.25">
      <c r="T264" t="s">
        <v>304</v>
      </c>
    </row>
    <row r="265" spans="19:22" x14ac:dyDescent="0.25">
      <c r="T265" t="s">
        <v>302</v>
      </c>
    </row>
    <row r="266" spans="19:22" x14ac:dyDescent="0.25">
      <c r="T266" t="s">
        <v>303</v>
      </c>
    </row>
    <row r="267" spans="19:22" x14ac:dyDescent="0.25">
      <c r="T267" t="s">
        <v>305</v>
      </c>
    </row>
    <row r="269" spans="19:22" x14ac:dyDescent="0.25">
      <c r="S269" t="s">
        <v>255</v>
      </c>
      <c r="T269" t="s">
        <v>307</v>
      </c>
    </row>
    <row r="270" spans="19:22" x14ac:dyDescent="0.25">
      <c r="T270" t="s">
        <v>260</v>
      </c>
    </row>
    <row r="271" spans="19:22" x14ac:dyDescent="0.25">
      <c r="T271" t="s">
        <v>306</v>
      </c>
    </row>
    <row r="304" spans="19:19" x14ac:dyDescent="0.25">
      <c r="S304" t="s">
        <v>253</v>
      </c>
    </row>
    <row r="326" spans="19:19" x14ac:dyDescent="0.25">
      <c r="S326" t="s">
        <v>254</v>
      </c>
    </row>
  </sheetData>
  <mergeCells count="2">
    <mergeCell ref="F132:I132"/>
    <mergeCell ref="F138:I138"/>
  </mergeCells>
  <hyperlinks>
    <hyperlink ref="B5" r:id="rId1" xr:uid="{DB714549-87E5-4294-B350-6B360F64B0C9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>
    <pageSetUpPr fitToPage="1"/>
  </sheetPr>
  <dimension ref="A2:AE108"/>
  <sheetViews>
    <sheetView showGridLines="0" tabSelected="1" zoomScale="70" zoomScaleNormal="70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2" max="12" width="11.42578125" customWidth="1"/>
    <col min="14" max="14" width="12.42578125" bestFit="1" customWidth="1"/>
    <col min="21" max="22" width="11.42578125" customWidth="1"/>
  </cols>
  <sheetData>
    <row r="2" spans="1:27" s="3" customFormat="1" ht="21" x14ac:dyDescent="0.35">
      <c r="C2" s="4"/>
      <c r="E2" s="30" t="s">
        <v>46</v>
      </c>
    </row>
    <row r="3" spans="1:27" ht="21" x14ac:dyDescent="0.35">
      <c r="E3" s="30" t="s">
        <v>107</v>
      </c>
    </row>
    <row r="4" spans="1:27" x14ac:dyDescent="0.25">
      <c r="B4" s="48" t="s">
        <v>225</v>
      </c>
    </row>
    <row r="5" spans="1:27" x14ac:dyDescent="0.25">
      <c r="B5" s="31" t="s">
        <v>78</v>
      </c>
      <c r="L5" s="2"/>
    </row>
    <row r="6" spans="1:27" x14ac:dyDescent="0.25">
      <c r="R6" s="23"/>
      <c r="W6" s="55" t="s">
        <v>19</v>
      </c>
      <c r="X6" s="56"/>
      <c r="Y6" s="56"/>
      <c r="Z6" s="56"/>
      <c r="AA6" s="48"/>
    </row>
    <row r="7" spans="1:27" ht="15.75" thickBot="1" x14ac:dyDescent="0.3">
      <c r="B7" s="32" t="s">
        <v>80</v>
      </c>
      <c r="R7" s="23"/>
      <c r="W7" s="57" t="s">
        <v>91</v>
      </c>
      <c r="X7" s="56"/>
      <c r="Y7" s="56"/>
      <c r="Z7" s="56"/>
      <c r="AA7" s="48"/>
    </row>
    <row r="8" spans="1:27" ht="15.75" thickBot="1" x14ac:dyDescent="0.3">
      <c r="A8" s="1"/>
      <c r="B8" s="22" t="s">
        <v>7</v>
      </c>
      <c r="D8" s="33"/>
      <c r="W8" s="61" t="s">
        <v>25</v>
      </c>
      <c r="X8" s="58" t="s">
        <v>27</v>
      </c>
      <c r="Y8" s="63">
        <v>1.289597194337661E-2</v>
      </c>
      <c r="Z8" s="59" t="s">
        <v>0</v>
      </c>
    </row>
    <row r="9" spans="1:27" ht="15.75" thickBot="1" x14ac:dyDescent="0.3">
      <c r="A9" s="1"/>
      <c r="B9" s="34" t="s">
        <v>9</v>
      </c>
      <c r="D9" s="35"/>
      <c r="W9" s="61" t="s">
        <v>26</v>
      </c>
      <c r="X9" s="58" t="s">
        <v>28</v>
      </c>
      <c r="Y9" s="63">
        <v>1.3020411448046791E-2</v>
      </c>
      <c r="Z9" s="59" t="s">
        <v>0</v>
      </c>
    </row>
    <row r="10" spans="1:27" ht="15.75" thickBot="1" x14ac:dyDescent="0.3">
      <c r="A10" s="1"/>
      <c r="B10" s="34" t="s">
        <v>8</v>
      </c>
      <c r="D10" s="36"/>
      <c r="R10" s="23"/>
      <c r="W10" s="61" t="s">
        <v>53</v>
      </c>
      <c r="X10" s="58" t="s">
        <v>63</v>
      </c>
      <c r="Y10" s="69">
        <v>9.9442909579519068</v>
      </c>
      <c r="Z10" s="59"/>
    </row>
    <row r="11" spans="1:27" ht="15.75" thickBot="1" x14ac:dyDescent="0.3">
      <c r="B11" s="5" t="s">
        <v>13</v>
      </c>
      <c r="R11" s="23"/>
      <c r="W11" s="61" t="s">
        <v>54</v>
      </c>
      <c r="X11" s="58" t="s">
        <v>64</v>
      </c>
      <c r="Y11" s="69">
        <v>8.8608785220876438</v>
      </c>
      <c r="Z11" s="59"/>
    </row>
    <row r="12" spans="1:27" ht="15.75" thickBot="1" x14ac:dyDescent="0.3">
      <c r="B12" s="37" t="s">
        <v>81</v>
      </c>
      <c r="W12" s="56" t="s">
        <v>12</v>
      </c>
      <c r="X12" s="56"/>
      <c r="Y12" s="56"/>
      <c r="Z12" s="56"/>
      <c r="AA12" s="48"/>
    </row>
    <row r="13" spans="1:27" ht="15.75" thickBot="1" x14ac:dyDescent="0.3">
      <c r="B13" s="48" t="s">
        <v>203</v>
      </c>
      <c r="W13" s="68" t="s">
        <v>200</v>
      </c>
      <c r="X13" s="56"/>
      <c r="Y13" s="60">
        <f xml:space="preserve"> P_n33 - P_n2</f>
        <v>-1.6941070556640625E-2</v>
      </c>
      <c r="Z13" s="59" t="s">
        <v>5</v>
      </c>
      <c r="AA13" s="48" t="s">
        <v>155</v>
      </c>
    </row>
    <row r="14" spans="1:27" ht="15.75" thickBot="1" x14ac:dyDescent="0.3">
      <c r="B14" s="48"/>
      <c r="Q14" s="23"/>
      <c r="R14" s="28"/>
      <c r="W14" s="68" t="s">
        <v>208</v>
      </c>
      <c r="X14" s="56"/>
      <c r="Y14" s="60">
        <f xml:space="preserve"> P_n8 - P_n12</f>
        <v>1.24053955078125E-2</v>
      </c>
      <c r="Z14" s="59" t="s">
        <v>5</v>
      </c>
      <c r="AA14" s="48" t="s">
        <v>156</v>
      </c>
    </row>
    <row r="15" spans="1:27" ht="15.75" thickBot="1" x14ac:dyDescent="0.3">
      <c r="B15" s="32" t="s">
        <v>14</v>
      </c>
      <c r="Q15" s="23"/>
      <c r="R15" s="28"/>
      <c r="W15" s="68" t="s">
        <v>201</v>
      </c>
      <c r="X15" s="56"/>
      <c r="Y15" s="60">
        <f xml:space="preserve"> P_n18 - P_n13</f>
        <v>3.8124427795410156</v>
      </c>
      <c r="Z15" s="59" t="s">
        <v>5</v>
      </c>
      <c r="AA15" s="48" t="s">
        <v>157</v>
      </c>
    </row>
    <row r="16" spans="1:27" ht="15.75" thickBot="1" x14ac:dyDescent="0.3">
      <c r="B16" s="22" t="s">
        <v>6</v>
      </c>
      <c r="D16" s="38" t="s">
        <v>15</v>
      </c>
      <c r="E16" s="33">
        <v>1</v>
      </c>
      <c r="Q16" s="23"/>
      <c r="R16" s="28"/>
      <c r="W16" s="68" t="s">
        <v>202</v>
      </c>
      <c r="X16" s="56"/>
      <c r="Y16" s="60">
        <f xml:space="preserve"> P_n38 - P_n30</f>
        <v>-1.953125E-3</v>
      </c>
      <c r="Z16" s="59" t="s">
        <v>5</v>
      </c>
      <c r="AA16" s="48" t="s">
        <v>158</v>
      </c>
    </row>
    <row r="17" spans="2:31" x14ac:dyDescent="0.25">
      <c r="Q17" s="23"/>
      <c r="R17" s="28"/>
    </row>
    <row r="18" spans="2:31" x14ac:dyDescent="0.25">
      <c r="B18" s="32" t="s">
        <v>79</v>
      </c>
      <c r="Q18" s="23"/>
      <c r="R18" s="28"/>
      <c r="AE18" s="27"/>
    </row>
    <row r="19" spans="2:31" ht="15.75" thickBot="1" x14ac:dyDescent="0.3">
      <c r="B19" s="22" t="s">
        <v>105</v>
      </c>
      <c r="D19" t="s">
        <v>106</v>
      </c>
      <c r="Q19" s="23"/>
      <c r="R19" s="28"/>
      <c r="W19" s="64" t="s">
        <v>113</v>
      </c>
      <c r="AE19" s="27"/>
    </row>
    <row r="20" spans="2:31" ht="15.75" thickBot="1" x14ac:dyDescent="0.3">
      <c r="B20" s="22" t="s">
        <v>1</v>
      </c>
      <c r="C20" s="39"/>
      <c r="D20" s="38" t="s">
        <v>10</v>
      </c>
      <c r="E20" s="33">
        <v>979.93</v>
      </c>
      <c r="F20" s="37" t="s">
        <v>2</v>
      </c>
      <c r="Q20" s="23"/>
      <c r="R20" s="28"/>
      <c r="W20" s="42" t="s">
        <v>17</v>
      </c>
      <c r="AE20" s="27"/>
    </row>
    <row r="21" spans="2:31" ht="15.75" thickBot="1" x14ac:dyDescent="0.3">
      <c r="B21" s="22" t="s">
        <v>3</v>
      </c>
      <c r="C21" s="40"/>
      <c r="D21" s="41" t="s">
        <v>11</v>
      </c>
      <c r="E21" s="43">
        <v>4.4079999999999998E-7</v>
      </c>
      <c r="F21" s="37" t="s">
        <v>4</v>
      </c>
      <c r="Q21" s="23"/>
      <c r="R21" s="28"/>
      <c r="W21" s="42" t="s">
        <v>36</v>
      </c>
      <c r="X21" s="38" t="str">
        <f t="shared" ref="X21:X25" si="0">"Q_"&amp;W21</f>
        <v>Q_P9</v>
      </c>
      <c r="Y21" s="63">
        <f xml:space="preserve"> Q_J4 + Q_J7</f>
        <v>2.5916383391423402E-2</v>
      </c>
      <c r="Z21" s="37" t="s">
        <v>0</v>
      </c>
      <c r="AA21" s="48" t="s">
        <v>98</v>
      </c>
      <c r="AE21" s="27"/>
    </row>
    <row r="22" spans="2:31" ht="15.75" thickBot="1" x14ac:dyDescent="0.3">
      <c r="Q22" s="23"/>
      <c r="R22" s="28"/>
      <c r="W22" s="42" t="s">
        <v>52</v>
      </c>
      <c r="X22" s="38" t="str">
        <f t="shared" si="0"/>
        <v>Q_P13</v>
      </c>
      <c r="Y22" s="63">
        <f xml:space="preserve"> Q_J4 + Q_J7 + Q_J10</f>
        <v>3.888888888888889E-2</v>
      </c>
      <c r="Z22" s="37" t="s">
        <v>0</v>
      </c>
      <c r="AA22" s="48" t="s">
        <v>99</v>
      </c>
      <c r="AE22" s="27"/>
    </row>
    <row r="23" spans="2:31" ht="15.75" thickBot="1" x14ac:dyDescent="0.3">
      <c r="B23" s="32" t="s">
        <v>256</v>
      </c>
      <c r="Q23" s="23"/>
      <c r="R23" s="28"/>
      <c r="W23" s="42" t="s">
        <v>51</v>
      </c>
      <c r="X23" s="38" t="s">
        <v>58</v>
      </c>
      <c r="Y23" s="63">
        <f xml:space="preserve"> Q_J14 + Q_J17 - Q_J4 - Q_J7</f>
        <v>1.2972505497465486E-2</v>
      </c>
      <c r="Z23" s="37" t="s">
        <v>0</v>
      </c>
      <c r="AA23" s="48" t="s">
        <v>100</v>
      </c>
      <c r="AE23" s="27"/>
    </row>
    <row r="24" spans="2:31" ht="15.75" thickBot="1" x14ac:dyDescent="0.3">
      <c r="B24" s="42" t="s">
        <v>17</v>
      </c>
      <c r="C24" s="42"/>
      <c r="D24" s="42"/>
      <c r="F24" s="22"/>
      <c r="Q24" s="23"/>
      <c r="R24" s="28"/>
      <c r="W24" s="42" t="s">
        <v>41</v>
      </c>
      <c r="X24" s="38" t="str">
        <f t="shared" si="0"/>
        <v>Q_P6</v>
      </c>
      <c r="Y24" s="63">
        <f xml:space="preserve"> Q_J7 + Q_J10</f>
        <v>2.5992916945512277E-2</v>
      </c>
      <c r="Z24" s="37" t="s">
        <v>0</v>
      </c>
      <c r="AA24" s="48" t="s">
        <v>101</v>
      </c>
      <c r="AE24" s="27"/>
    </row>
    <row r="25" spans="2:31" ht="15.75" thickBot="1" x14ac:dyDescent="0.3">
      <c r="B25" s="42" t="s">
        <v>53</v>
      </c>
      <c r="C25" s="38" t="s">
        <v>59</v>
      </c>
      <c r="D25" s="53">
        <f>70/3600</f>
        <v>1.9444444444444445E-2</v>
      </c>
      <c r="E25" s="37" t="s">
        <v>0</v>
      </c>
      <c r="F25" s="22"/>
      <c r="Q25" s="23"/>
      <c r="R25" s="28"/>
      <c r="W25" s="42" t="s">
        <v>55</v>
      </c>
      <c r="X25" s="38" t="str">
        <f t="shared" si="0"/>
        <v>Q_P23</v>
      </c>
      <c r="Y25" s="63">
        <f xml:space="preserve"> Q_J14 + Q_J17</f>
        <v>3.888888888888889E-2</v>
      </c>
      <c r="Z25" s="37" t="s">
        <v>0</v>
      </c>
      <c r="AA25" s="48" t="s">
        <v>102</v>
      </c>
      <c r="AE25" s="27"/>
    </row>
    <row r="26" spans="2:31" ht="15.75" thickBot="1" x14ac:dyDescent="0.3">
      <c r="B26" s="42" t="s">
        <v>54</v>
      </c>
      <c r="C26" s="38" t="s">
        <v>60</v>
      </c>
      <c r="D26" s="53">
        <f>70/3600</f>
        <v>1.9444444444444445E-2</v>
      </c>
      <c r="E26" s="37" t="s">
        <v>0</v>
      </c>
      <c r="Q26" s="23"/>
      <c r="R26" s="28"/>
      <c r="AE26" s="27"/>
    </row>
    <row r="27" spans="2:31" ht="15.75" thickBot="1" x14ac:dyDescent="0.3">
      <c r="B27" s="42" t="s">
        <v>37</v>
      </c>
      <c r="C27" s="38" t="s">
        <v>90</v>
      </c>
      <c r="D27" s="54">
        <v>1.0000000000000001E-5</v>
      </c>
      <c r="E27" s="37" t="s">
        <v>0</v>
      </c>
      <c r="Q27" s="23"/>
      <c r="R27" s="28"/>
      <c r="W27" s="64" t="s">
        <v>114</v>
      </c>
      <c r="AE27" s="27"/>
    </row>
    <row r="28" spans="2:31" ht="15.75" thickBot="1" x14ac:dyDescent="0.3">
      <c r="Q28" s="23"/>
      <c r="R28" s="28"/>
      <c r="W28" s="42" t="s">
        <v>17</v>
      </c>
      <c r="AE28" s="27"/>
    </row>
    <row r="29" spans="2:31" ht="15.75" thickBot="1" x14ac:dyDescent="0.3">
      <c r="B29" s="32" t="s">
        <v>30</v>
      </c>
      <c r="Q29" s="23"/>
      <c r="R29" s="28"/>
      <c r="W29" s="42" t="s">
        <v>117</v>
      </c>
      <c r="X29" s="38" t="str">
        <f>"P_"&amp;W29</f>
        <v>P_n1</v>
      </c>
      <c r="Y29" s="65">
        <f xml:space="preserve"> P_J1</f>
        <v>130154.4921875</v>
      </c>
      <c r="Z29" s="37" t="s">
        <v>5</v>
      </c>
      <c r="AA29" s="48" t="s">
        <v>159</v>
      </c>
      <c r="AE29" s="27"/>
    </row>
    <row r="30" spans="2:31" ht="15.75" thickBot="1" x14ac:dyDescent="0.3">
      <c r="B30" s="42" t="s">
        <v>17</v>
      </c>
      <c r="C30" s="87" t="s">
        <v>110</v>
      </c>
      <c r="D30" s="87"/>
      <c r="E30" s="87" t="s">
        <v>111</v>
      </c>
      <c r="F30" s="87"/>
      <c r="G30" s="87" t="s">
        <v>112</v>
      </c>
      <c r="H30" s="87"/>
      <c r="Q30" s="23"/>
      <c r="R30" s="28"/>
      <c r="W30" s="42" t="s">
        <v>118</v>
      </c>
      <c r="X30" s="38" t="str">
        <f t="shared" ref="X30:X66" si="1">"P_"&amp;W30</f>
        <v>P_n2</v>
      </c>
      <c r="Y30" s="65">
        <f xml:space="preserve"> P_n1 - dP_P1</f>
        <v>130154.49125002482</v>
      </c>
      <c r="Z30" s="37" t="s">
        <v>5</v>
      </c>
      <c r="AA30" s="48" t="s">
        <v>160</v>
      </c>
      <c r="AC30" s="27"/>
      <c r="AD30" s="27"/>
      <c r="AE30" s="27"/>
    </row>
    <row r="31" spans="2:31" ht="15.75" thickBot="1" x14ac:dyDescent="0.3">
      <c r="B31" s="42" t="s">
        <v>31</v>
      </c>
      <c r="C31" s="38" t="s">
        <v>32</v>
      </c>
      <c r="D31" s="33">
        <v>3</v>
      </c>
      <c r="E31" s="38" t="s">
        <v>43</v>
      </c>
      <c r="F31" s="33">
        <v>101325</v>
      </c>
      <c r="G31" s="38" t="s">
        <v>44</v>
      </c>
      <c r="H31" s="33">
        <v>0</v>
      </c>
      <c r="Q31" s="23"/>
      <c r="R31" s="28"/>
      <c r="W31" s="42" t="s">
        <v>119</v>
      </c>
      <c r="X31" s="38" t="str">
        <f t="shared" si="1"/>
        <v>P_n3</v>
      </c>
      <c r="Y31" s="65">
        <f xml:space="preserve"> P_n2 - dP_P2</f>
        <v>129495.11795900919</v>
      </c>
      <c r="Z31" s="37" t="s">
        <v>5</v>
      </c>
      <c r="AA31" s="48" t="s">
        <v>161</v>
      </c>
      <c r="AC31" s="27"/>
      <c r="AD31" s="27"/>
      <c r="AE31" s="27"/>
    </row>
    <row r="32" spans="2:31" ht="15.75" thickBot="1" x14ac:dyDescent="0.3">
      <c r="Q32" s="23"/>
      <c r="R32" s="28"/>
      <c r="W32" s="42" t="s">
        <v>120</v>
      </c>
      <c r="X32" s="38" t="str">
        <f t="shared" si="1"/>
        <v>P_n4</v>
      </c>
      <c r="Y32" s="65">
        <f xml:space="preserve"> P_n3 - dP_P3</f>
        <v>128869.35312746622</v>
      </c>
      <c r="Z32" s="37" t="s">
        <v>5</v>
      </c>
      <c r="AA32" s="48" t="s">
        <v>162</v>
      </c>
      <c r="AC32" s="27"/>
      <c r="AD32" s="27"/>
      <c r="AE32" s="27"/>
    </row>
    <row r="33" spans="2:31" ht="15.75" thickBot="1" x14ac:dyDescent="0.3">
      <c r="B33" s="32" t="s">
        <v>16</v>
      </c>
      <c r="Q33" s="23"/>
      <c r="R33" s="28"/>
      <c r="W33" s="42" t="s">
        <v>121</v>
      </c>
      <c r="X33" s="38" t="str">
        <f t="shared" si="1"/>
        <v>P_n5</v>
      </c>
      <c r="Y33" s="65">
        <f xml:space="preserve"> P_n4 + P_J4</f>
        <v>229378.25937746622</v>
      </c>
      <c r="Z33" s="37" t="s">
        <v>5</v>
      </c>
      <c r="AA33" s="48" t="s">
        <v>163</v>
      </c>
      <c r="AC33" s="27"/>
      <c r="AD33" s="27"/>
      <c r="AE33" s="27"/>
    </row>
    <row r="34" spans="2:31" ht="15.75" thickBot="1" x14ac:dyDescent="0.3">
      <c r="B34" s="42" t="s">
        <v>17</v>
      </c>
      <c r="C34" s="87" t="s">
        <v>82</v>
      </c>
      <c r="D34" s="87"/>
      <c r="E34" s="87" t="s">
        <v>83</v>
      </c>
      <c r="F34" s="87"/>
      <c r="G34" s="87" t="s">
        <v>84</v>
      </c>
      <c r="H34" s="87"/>
      <c r="Q34" s="23"/>
      <c r="R34" s="28"/>
      <c r="W34" s="42" t="s">
        <v>122</v>
      </c>
      <c r="X34" s="38" t="str">
        <f t="shared" si="1"/>
        <v>P_n6</v>
      </c>
      <c r="Y34" s="65">
        <f xml:space="preserve"> P_n5 - dP_P4</f>
        <v>229065.37696169474</v>
      </c>
      <c r="Z34" s="37" t="s">
        <v>5</v>
      </c>
      <c r="AA34" s="48" t="s">
        <v>164</v>
      </c>
      <c r="AC34" s="27"/>
      <c r="AD34" s="27"/>
      <c r="AE34" s="27"/>
    </row>
    <row r="35" spans="2:31" ht="15.75" thickBot="1" x14ac:dyDescent="0.3">
      <c r="B35" s="42" t="s">
        <v>37</v>
      </c>
      <c r="C35" s="38" t="str">
        <f t="shared" ref="C35:C58" si="2">"D_"&amp;B35</f>
        <v>D_P1</v>
      </c>
      <c r="D35" s="33">
        <v>0.15405099999999999</v>
      </c>
      <c r="E35" s="38" t="str">
        <f>"L_"&amp;B35</f>
        <v>L_P1</v>
      </c>
      <c r="F35" s="33">
        <v>3</v>
      </c>
      <c r="G35" s="38" t="str">
        <f>"e_"&amp;B35</f>
        <v>e_P1</v>
      </c>
      <c r="H35" s="43">
        <v>4.5720000000000003E-5</v>
      </c>
      <c r="L35" s="49" t="s">
        <v>86</v>
      </c>
      <c r="M35" s="50"/>
      <c r="N35" s="50"/>
      <c r="P35" s="8"/>
      <c r="Q35" s="23"/>
      <c r="R35" s="28"/>
      <c r="W35" s="42" t="s">
        <v>123</v>
      </c>
      <c r="X35" s="38" t="str">
        <f t="shared" si="1"/>
        <v>P_n7</v>
      </c>
      <c r="Y35" s="65">
        <f xml:space="preserve"> P_n6 - dP_J5</f>
        <v>228715.32367800333</v>
      </c>
      <c r="Z35" s="37" t="s">
        <v>5</v>
      </c>
      <c r="AA35" s="48" t="s">
        <v>165</v>
      </c>
      <c r="AC35" s="27"/>
      <c r="AD35" s="27"/>
      <c r="AE35" s="27"/>
    </row>
    <row r="36" spans="2:31" ht="15.75" thickBot="1" x14ac:dyDescent="0.3">
      <c r="B36" s="42" t="s">
        <v>34</v>
      </c>
      <c r="C36" s="38" t="str">
        <f t="shared" si="2"/>
        <v>D_P2</v>
      </c>
      <c r="D36" s="33">
        <v>0.15405099999999999</v>
      </c>
      <c r="E36" s="38" t="str">
        <f t="shared" ref="E36:E58" si="3">"L_"&amp;B36</f>
        <v>L_P2</v>
      </c>
      <c r="F36" s="33">
        <v>3</v>
      </c>
      <c r="G36" s="38" t="str">
        <f t="shared" ref="G36:G58" si="4">"e_"&amp;B36</f>
        <v>e_P2</v>
      </c>
      <c r="H36" s="43">
        <v>4.5720000000000003E-5</v>
      </c>
      <c r="L36" s="42" t="s">
        <v>53</v>
      </c>
      <c r="M36" s="38" t="str">
        <f>"dP_"&amp;L36</f>
        <v>dP_J14</v>
      </c>
      <c r="N36" s="51">
        <f xml:space="preserve"> _xll.PressureLoss_k_Qv_D_Rho(K_J14,Q_J14,D_P15,rho)</f>
        <v>27309.908203125</v>
      </c>
      <c r="O36" s="37" t="s">
        <v>5</v>
      </c>
      <c r="P36" s="48" t="s">
        <v>103</v>
      </c>
      <c r="Q36" s="23"/>
      <c r="R36" s="28"/>
      <c r="W36" s="42" t="s">
        <v>124</v>
      </c>
      <c r="X36" s="38" t="str">
        <f t="shared" si="1"/>
        <v>P_n8</v>
      </c>
      <c r="Y36" s="65">
        <f xml:space="preserve"> P_n7 - dP_P5</f>
        <v>228506.73540590861</v>
      </c>
      <c r="Z36" s="37" t="s">
        <v>5</v>
      </c>
      <c r="AA36" s="48" t="s">
        <v>166</v>
      </c>
      <c r="AC36" s="27"/>
      <c r="AD36" s="27"/>
      <c r="AE36" s="27"/>
    </row>
    <row r="37" spans="2:31" ht="15.75" thickBot="1" x14ac:dyDescent="0.3">
      <c r="B37" s="42" t="s">
        <v>39</v>
      </c>
      <c r="C37" s="38" t="str">
        <f t="shared" si="2"/>
        <v>D_P3</v>
      </c>
      <c r="D37" s="33">
        <v>0.10226039999999999</v>
      </c>
      <c r="E37" s="38" t="str">
        <f t="shared" si="3"/>
        <v>L_P3</v>
      </c>
      <c r="F37" s="33">
        <v>3</v>
      </c>
      <c r="G37" s="38" t="str">
        <f t="shared" si="4"/>
        <v>e_P3</v>
      </c>
      <c r="H37" s="43">
        <v>4.5720000000000003E-5</v>
      </c>
      <c r="K37" s="16"/>
      <c r="L37" s="42" t="s">
        <v>54</v>
      </c>
      <c r="M37" s="38" t="str">
        <f>"dP_"&amp;L37</f>
        <v>dP_J17</v>
      </c>
      <c r="N37" s="51">
        <f xml:space="preserve"> _xll.PressureLoss_k_Qv_D_Rho(K_J17,Q_J17,D_P19,rho)</f>
        <v>24334.54296875</v>
      </c>
      <c r="O37" s="37" t="s">
        <v>5</v>
      </c>
      <c r="P37" s="48" t="s">
        <v>104</v>
      </c>
      <c r="Q37" s="23"/>
      <c r="R37" s="28"/>
      <c r="W37" s="42" t="s">
        <v>125</v>
      </c>
      <c r="X37" s="38" t="str">
        <f t="shared" si="1"/>
        <v>P_n9</v>
      </c>
      <c r="Y37" s="65">
        <f xml:space="preserve"> P_n3 - dP_P6</f>
        <v>129394.42020510294</v>
      </c>
      <c r="Z37" s="37" t="s">
        <v>5</v>
      </c>
      <c r="AA37" s="48" t="s">
        <v>167</v>
      </c>
      <c r="AC37" s="27"/>
      <c r="AD37" s="27"/>
      <c r="AE37" s="27"/>
    </row>
    <row r="38" spans="2:31" ht="15.75" thickBot="1" x14ac:dyDescent="0.3">
      <c r="B38" s="42" t="s">
        <v>40</v>
      </c>
      <c r="C38" s="38" t="str">
        <f t="shared" si="2"/>
        <v>D_P4</v>
      </c>
      <c r="D38" s="33">
        <v>0.10226039999999999</v>
      </c>
      <c r="E38" s="38" t="str">
        <f t="shared" si="3"/>
        <v>L_P4</v>
      </c>
      <c r="F38" s="33">
        <v>1.5</v>
      </c>
      <c r="G38" s="38" t="str">
        <f t="shared" si="4"/>
        <v>e_P4</v>
      </c>
      <c r="H38" s="43">
        <v>4.5720000000000003E-5</v>
      </c>
      <c r="K38" s="16"/>
      <c r="L38" s="42"/>
      <c r="M38" s="38"/>
      <c r="N38" s="52"/>
      <c r="P38" s="48"/>
      <c r="Q38" s="23"/>
      <c r="R38" s="28"/>
      <c r="W38" s="42" t="s">
        <v>126</v>
      </c>
      <c r="X38" s="38" t="str">
        <f t="shared" si="1"/>
        <v>P_n10</v>
      </c>
      <c r="Y38" s="65">
        <f xml:space="preserve"> P_n9 - dP_P7</f>
        <v>128756.92936037638</v>
      </c>
      <c r="Z38" s="37" t="s">
        <v>5</v>
      </c>
      <c r="AA38" s="48" t="s">
        <v>168</v>
      </c>
    </row>
    <row r="39" spans="2:31" ht="15.75" thickBot="1" x14ac:dyDescent="0.3">
      <c r="B39" s="42" t="s">
        <v>35</v>
      </c>
      <c r="C39" s="38" t="str">
        <f t="shared" si="2"/>
        <v>D_P5</v>
      </c>
      <c r="D39" s="33">
        <v>0.10226039999999999</v>
      </c>
      <c r="E39" s="38" t="str">
        <f t="shared" si="3"/>
        <v>L_P5</v>
      </c>
      <c r="F39" s="33">
        <v>1</v>
      </c>
      <c r="G39" s="38" t="str">
        <f t="shared" si="4"/>
        <v>e_P5</v>
      </c>
      <c r="H39" s="43">
        <v>4.5720000000000003E-5</v>
      </c>
      <c r="K39" s="21"/>
      <c r="L39" s="49" t="s">
        <v>199</v>
      </c>
      <c r="M39" s="50"/>
      <c r="N39" s="50"/>
      <c r="P39" s="8"/>
      <c r="Q39" s="23"/>
      <c r="R39" s="28"/>
      <c r="W39" s="42" t="s">
        <v>127</v>
      </c>
      <c r="X39" s="38" t="str">
        <f t="shared" si="1"/>
        <v>P_n11</v>
      </c>
      <c r="Y39" s="65">
        <f xml:space="preserve"> P_n10 + P_J7</f>
        <v>228825.46842287638</v>
      </c>
      <c r="Z39" s="37" t="s">
        <v>5</v>
      </c>
      <c r="AA39" s="48" t="s">
        <v>169</v>
      </c>
    </row>
    <row r="40" spans="2:31" ht="15.75" thickBot="1" x14ac:dyDescent="0.3">
      <c r="B40" s="42" t="s">
        <v>41</v>
      </c>
      <c r="C40" s="38" t="str">
        <f t="shared" si="2"/>
        <v>D_P6</v>
      </c>
      <c r="D40" s="33">
        <v>0.15405099999999999</v>
      </c>
      <c r="E40" s="38" t="str">
        <f t="shared" si="3"/>
        <v>L_P6</v>
      </c>
      <c r="F40" s="33">
        <v>1</v>
      </c>
      <c r="G40" s="38" t="str">
        <f t="shared" si="4"/>
        <v>e_P6</v>
      </c>
      <c r="H40" s="43">
        <v>4.5720000000000003E-5</v>
      </c>
      <c r="L40" s="42" t="s">
        <v>53</v>
      </c>
      <c r="M40" s="38"/>
      <c r="N40" s="67">
        <f>_xll.FlowCoefficientKv_Qv_dP_Rho(Q_J14,dP_J14,rho)</f>
        <v>132.6822509765625</v>
      </c>
      <c r="O40" s="37"/>
      <c r="P40" s="48" t="s">
        <v>197</v>
      </c>
      <c r="Q40" s="23"/>
      <c r="R40" s="28"/>
      <c r="W40" s="42" t="s">
        <v>128</v>
      </c>
      <c r="X40" s="38" t="str">
        <f t="shared" si="1"/>
        <v>P_n12</v>
      </c>
      <c r="Y40" s="65">
        <f xml:space="preserve"> P_n11 - dP_P8</f>
        <v>228506.7230005131</v>
      </c>
      <c r="Z40" s="37" t="s">
        <v>5</v>
      </c>
      <c r="AA40" s="48" t="s">
        <v>170</v>
      </c>
    </row>
    <row r="41" spans="2:31" ht="15.75" thickBot="1" x14ac:dyDescent="0.3">
      <c r="B41" s="42" t="s">
        <v>42</v>
      </c>
      <c r="C41" s="38" t="str">
        <f t="shared" si="2"/>
        <v>D_P7</v>
      </c>
      <c r="D41" s="33">
        <v>0.10226039999999999</v>
      </c>
      <c r="E41" s="38" t="str">
        <f t="shared" si="3"/>
        <v>L_P7</v>
      </c>
      <c r="F41" s="33">
        <v>3</v>
      </c>
      <c r="G41" s="38" t="str">
        <f t="shared" si="4"/>
        <v>e_P7</v>
      </c>
      <c r="H41" s="43">
        <v>4.5720000000000003E-5</v>
      </c>
      <c r="L41" s="42" t="s">
        <v>54</v>
      </c>
      <c r="M41" s="38"/>
      <c r="N41" s="67">
        <f>_xll.FlowCoefficientKv_Qv_dP_Rho(Q_J17,dP_J17,rho)</f>
        <v>140.55987548828125</v>
      </c>
      <c r="O41" s="37"/>
      <c r="P41" s="48" t="s">
        <v>198</v>
      </c>
      <c r="Q41" s="23"/>
      <c r="R41" s="28"/>
      <c r="W41" s="42" t="s">
        <v>129</v>
      </c>
      <c r="X41" s="38" t="str">
        <f t="shared" si="1"/>
        <v>P_n13</v>
      </c>
      <c r="Y41" s="65">
        <f xml:space="preserve"> P_n12 - dP_P9</f>
        <v>228406.59622286417</v>
      </c>
      <c r="Z41" s="37" t="s">
        <v>5</v>
      </c>
      <c r="AA41" s="48" t="s">
        <v>171</v>
      </c>
    </row>
    <row r="42" spans="2:31" ht="15.75" thickBot="1" x14ac:dyDescent="0.3">
      <c r="B42" s="42" t="s">
        <v>38</v>
      </c>
      <c r="C42" s="38" t="str">
        <f t="shared" si="2"/>
        <v>D_P8</v>
      </c>
      <c r="D42" s="33">
        <v>0.10226039999999999</v>
      </c>
      <c r="E42" s="38" t="str">
        <f t="shared" si="3"/>
        <v>L_P8</v>
      </c>
      <c r="F42" s="33">
        <v>1.5</v>
      </c>
      <c r="G42" s="38" t="str">
        <f t="shared" si="4"/>
        <v>e_P8</v>
      </c>
      <c r="H42" s="43">
        <v>4.5720000000000003E-5</v>
      </c>
      <c r="L42" s="42"/>
      <c r="M42" s="38"/>
      <c r="N42" s="52"/>
      <c r="P42" s="48"/>
      <c r="Q42" s="23"/>
      <c r="R42" s="28"/>
      <c r="W42" s="42" t="s">
        <v>130</v>
      </c>
      <c r="X42" s="38" t="str">
        <f t="shared" si="1"/>
        <v>P_n14</v>
      </c>
      <c r="Y42" s="65">
        <f xml:space="preserve"> P_n9 - dP_P10</f>
        <v>129183.43222902872</v>
      </c>
      <c r="Z42" s="37" t="s">
        <v>5</v>
      </c>
      <c r="AA42" s="48" t="s">
        <v>172</v>
      </c>
    </row>
    <row r="43" spans="2:31" ht="15.75" thickBot="1" x14ac:dyDescent="0.3">
      <c r="B43" s="42" t="s">
        <v>36</v>
      </c>
      <c r="C43" s="38" t="str">
        <f t="shared" si="2"/>
        <v>D_P9</v>
      </c>
      <c r="D43" s="33">
        <v>0.15405099999999999</v>
      </c>
      <c r="E43" s="38" t="str">
        <f t="shared" si="3"/>
        <v>L_P9</v>
      </c>
      <c r="F43" s="33">
        <v>1</v>
      </c>
      <c r="G43" s="38" t="str">
        <f t="shared" si="4"/>
        <v>e_P9</v>
      </c>
      <c r="H43" s="43">
        <v>4.5720000000000003E-5</v>
      </c>
      <c r="K43" s="16"/>
      <c r="L43" s="49" t="s">
        <v>87</v>
      </c>
      <c r="M43" s="50"/>
      <c r="N43" s="50"/>
      <c r="P43" s="48"/>
      <c r="Q43" s="23"/>
      <c r="R43" s="28"/>
      <c r="W43" s="42" t="s">
        <v>131</v>
      </c>
      <c r="X43" s="38" t="str">
        <f t="shared" si="1"/>
        <v>P_n15</v>
      </c>
      <c r="Y43" s="65">
        <f xml:space="preserve"> P_n14 - dP_J9</f>
        <v>129120.96384142496</v>
      </c>
      <c r="Z43" s="37" t="s">
        <v>5</v>
      </c>
      <c r="AA43" s="48" t="s">
        <v>173</v>
      </c>
    </row>
    <row r="44" spans="2:31" ht="15.75" thickBot="1" x14ac:dyDescent="0.3">
      <c r="B44" s="42" t="s">
        <v>65</v>
      </c>
      <c r="C44" s="38" t="str">
        <f t="shared" si="2"/>
        <v>D_P10</v>
      </c>
      <c r="D44" s="33">
        <v>0.10226039999999999</v>
      </c>
      <c r="E44" s="38" t="str">
        <f t="shared" si="3"/>
        <v>L_P10</v>
      </c>
      <c r="F44" s="33">
        <v>1</v>
      </c>
      <c r="G44" s="38" t="str">
        <f t="shared" si="4"/>
        <v>e_P10</v>
      </c>
      <c r="H44" s="43">
        <v>4.5720000000000003E-5</v>
      </c>
      <c r="L44" s="42" t="s">
        <v>56</v>
      </c>
      <c r="M44" s="38" t="str">
        <f t="shared" ref="M44:M45" si="5">"dP_"&amp;L44</f>
        <v>dP_J15</v>
      </c>
      <c r="N44" s="51">
        <f>_xll.SplineInterpolation(Q_J14,B72:B79,C72:C79,Cd)</f>
        <v>62520.54296875</v>
      </c>
      <c r="O44" s="37" t="s">
        <v>5</v>
      </c>
      <c r="P44" s="48" t="s">
        <v>96</v>
      </c>
      <c r="Q44" s="23"/>
      <c r="R44" s="28"/>
      <c r="W44" s="42" t="s">
        <v>132</v>
      </c>
      <c r="X44" s="38" t="str">
        <f t="shared" si="1"/>
        <v>P_n16</v>
      </c>
      <c r="Y44" s="65">
        <f xml:space="preserve"> P_n15 - dP_P11</f>
        <v>128487.99997423746</v>
      </c>
      <c r="Z44" s="37" t="s">
        <v>5</v>
      </c>
      <c r="AA44" s="48" t="s">
        <v>174</v>
      </c>
    </row>
    <row r="45" spans="2:31" ht="15.75" thickBot="1" x14ac:dyDescent="0.3">
      <c r="B45" s="42" t="s">
        <v>66</v>
      </c>
      <c r="C45" s="38" t="str">
        <f t="shared" si="2"/>
        <v>D_P11</v>
      </c>
      <c r="D45" s="33">
        <v>0.10226039999999999</v>
      </c>
      <c r="E45" s="38" t="str">
        <f t="shared" si="3"/>
        <v>L_P11</v>
      </c>
      <c r="F45" s="33">
        <v>3</v>
      </c>
      <c r="G45" s="38" t="str">
        <f t="shared" si="4"/>
        <v>e_P11</v>
      </c>
      <c r="H45" s="43">
        <v>4.5720000000000003E-5</v>
      </c>
      <c r="L45" s="42" t="s">
        <v>57</v>
      </c>
      <c r="M45" s="38" t="str">
        <f t="shared" si="5"/>
        <v>dP_J18</v>
      </c>
      <c r="N45" s="51">
        <f>_xll.SplineInterpolation(Q_J17,B72:B79,C72:C79,Cd)</f>
        <v>62520.54296875</v>
      </c>
      <c r="O45" s="37" t="s">
        <v>5</v>
      </c>
      <c r="P45" s="48" t="s">
        <v>97</v>
      </c>
      <c r="W45" s="42" t="s">
        <v>133</v>
      </c>
      <c r="X45" s="38" t="str">
        <f t="shared" si="1"/>
        <v>P_n17</v>
      </c>
      <c r="Y45" s="65">
        <f xml:space="preserve"> P_n16 + P_J10</f>
        <v>228726.89059923746</v>
      </c>
      <c r="Z45" s="37" t="s">
        <v>5</v>
      </c>
      <c r="AA45" s="48" t="s">
        <v>175</v>
      </c>
    </row>
    <row r="46" spans="2:31" ht="15.75" thickBot="1" x14ac:dyDescent="0.3">
      <c r="B46" s="42" t="s">
        <v>67</v>
      </c>
      <c r="C46" s="38" t="str">
        <f t="shared" si="2"/>
        <v>D_P12</v>
      </c>
      <c r="D46" s="33">
        <v>0.10226039999999999</v>
      </c>
      <c r="E46" s="38" t="str">
        <f t="shared" si="3"/>
        <v>L_P12</v>
      </c>
      <c r="F46" s="33">
        <v>1.5</v>
      </c>
      <c r="G46" s="38" t="str">
        <f t="shared" si="4"/>
        <v>e_P12</v>
      </c>
      <c r="H46" s="43">
        <v>4.5720000000000003E-5</v>
      </c>
      <c r="K46" s="16"/>
      <c r="L46" s="42"/>
      <c r="M46" s="38"/>
      <c r="N46" s="52"/>
      <c r="P46" s="48"/>
      <c r="W46" s="42" t="s">
        <v>134</v>
      </c>
      <c r="X46" s="38" t="str">
        <f t="shared" si="1"/>
        <v>P_n18</v>
      </c>
      <c r="Y46" s="65">
        <f xml:space="preserve"> P_n17 - dP_P12</f>
        <v>228410.40866564371</v>
      </c>
      <c r="Z46" s="37" t="s">
        <v>5</v>
      </c>
      <c r="AA46" s="48" t="s">
        <v>176</v>
      </c>
    </row>
    <row r="47" spans="2:31" ht="15.75" thickBot="1" x14ac:dyDescent="0.3">
      <c r="B47" s="42" t="s">
        <v>52</v>
      </c>
      <c r="C47" s="38" t="str">
        <f t="shared" si="2"/>
        <v>D_P13</v>
      </c>
      <c r="D47" s="33">
        <v>0.15405099999999999</v>
      </c>
      <c r="E47" s="38" t="str">
        <f t="shared" si="3"/>
        <v>L_P13</v>
      </c>
      <c r="F47" s="33">
        <v>3</v>
      </c>
      <c r="G47" s="38" t="str">
        <f t="shared" si="4"/>
        <v>e_P13</v>
      </c>
      <c r="H47" s="43">
        <v>4.5720000000000003E-5</v>
      </c>
      <c r="K47" s="16"/>
      <c r="L47" s="49" t="s">
        <v>88</v>
      </c>
      <c r="M47" s="50"/>
      <c r="N47" s="50"/>
      <c r="P47" s="48"/>
      <c r="R47" s="23"/>
      <c r="W47" s="42" t="s">
        <v>135</v>
      </c>
      <c r="X47" s="38" t="str">
        <f t="shared" si="1"/>
        <v>P_n19</v>
      </c>
      <c r="Y47" s="65">
        <f xml:space="preserve"> P_n18 - dP_P13</f>
        <v>227751.03537462809</v>
      </c>
      <c r="Z47" s="37" t="s">
        <v>5</v>
      </c>
      <c r="AA47" s="48" t="s">
        <v>177</v>
      </c>
    </row>
    <row r="48" spans="2:31" ht="15.75" thickBot="1" x14ac:dyDescent="0.3">
      <c r="B48" s="42" t="s">
        <v>62</v>
      </c>
      <c r="C48" s="38" t="str">
        <f t="shared" si="2"/>
        <v>D_P14</v>
      </c>
      <c r="D48" s="33">
        <v>0.15405099999999999</v>
      </c>
      <c r="E48" s="38" t="str">
        <f t="shared" si="3"/>
        <v>L_P14</v>
      </c>
      <c r="F48" s="33">
        <v>9</v>
      </c>
      <c r="G48" s="38" t="str">
        <f t="shared" si="4"/>
        <v>e_P14</v>
      </c>
      <c r="H48" s="43">
        <v>4.5720000000000003E-5</v>
      </c>
      <c r="K48" s="16"/>
      <c r="L48" s="42" t="s">
        <v>37</v>
      </c>
      <c r="M48" s="38" t="str">
        <f t="shared" ref="M48:M71" si="6">"dP_"&amp;L48</f>
        <v>dP_P1</v>
      </c>
      <c r="N48" s="51">
        <f>_xll.PipeStraightCircularCrossSection_dP(D_P1,L_P1,Q_P1,rho,nu,2,e_P1,,,Cd,L48)</f>
        <v>9.3747518258169293E-4</v>
      </c>
      <c r="O48" s="37" t="s">
        <v>5</v>
      </c>
      <c r="P48" s="48" t="s">
        <v>314</v>
      </c>
      <c r="R48" s="23"/>
      <c r="W48" s="42" t="s">
        <v>136</v>
      </c>
      <c r="X48" s="38" t="str">
        <f t="shared" si="1"/>
        <v>P_n20</v>
      </c>
      <c r="Y48" s="65">
        <f xml:space="preserve"> P_n19 - dP_J12</f>
        <v>227196.89450548746</v>
      </c>
      <c r="Z48" s="37" t="s">
        <v>5</v>
      </c>
      <c r="AA48" s="48" t="s">
        <v>178</v>
      </c>
    </row>
    <row r="49" spans="2:27" ht="15.75" thickBot="1" x14ac:dyDescent="0.3">
      <c r="B49" s="42" t="s">
        <v>74</v>
      </c>
      <c r="C49" s="38" t="str">
        <f t="shared" si="2"/>
        <v>D_P15</v>
      </c>
      <c r="D49" s="33">
        <v>0.10226039999999999</v>
      </c>
      <c r="E49" s="38" t="str">
        <f t="shared" si="3"/>
        <v>L_P15</v>
      </c>
      <c r="F49" s="33">
        <v>3</v>
      </c>
      <c r="G49" s="38" t="str">
        <f t="shared" si="4"/>
        <v>e_P15</v>
      </c>
      <c r="H49" s="43">
        <v>4.5720000000000003E-5</v>
      </c>
      <c r="L49" s="42" t="s">
        <v>34</v>
      </c>
      <c r="M49" s="38" t="str">
        <f t="shared" si="6"/>
        <v>dP_P2</v>
      </c>
      <c r="N49" s="51">
        <f>_xll.PipeStraightCircularCrossSection_dP(D_P2,L_P2,Q_P23,rho,nu,2,e_P2,,,Cd,L49)</f>
        <v>659.373291015625</v>
      </c>
      <c r="O49" s="37" t="s">
        <v>5</v>
      </c>
      <c r="P49" s="48" t="s">
        <v>315</v>
      </c>
      <c r="R49" s="23"/>
      <c r="W49" s="42" t="s">
        <v>137</v>
      </c>
      <c r="X49" s="38" t="str">
        <f t="shared" si="1"/>
        <v>P_n21</v>
      </c>
      <c r="Y49" s="65">
        <f xml:space="preserve"> P_n20 - dP_P14</f>
        <v>225218.77451037028</v>
      </c>
      <c r="Z49" s="37" t="s">
        <v>5</v>
      </c>
      <c r="AA49" s="48" t="s">
        <v>179</v>
      </c>
    </row>
    <row r="50" spans="2:27" ht="15.75" thickBot="1" x14ac:dyDescent="0.3">
      <c r="B50" s="42" t="s">
        <v>75</v>
      </c>
      <c r="C50" s="38" t="str">
        <f t="shared" si="2"/>
        <v>D_P16</v>
      </c>
      <c r="D50" s="33">
        <v>0.10226039999999999</v>
      </c>
      <c r="E50" s="38" t="str">
        <f t="shared" si="3"/>
        <v>L_P16</v>
      </c>
      <c r="F50" s="33">
        <v>1.5</v>
      </c>
      <c r="G50" s="38" t="str">
        <f t="shared" si="4"/>
        <v>e_P16</v>
      </c>
      <c r="H50" s="43">
        <v>4.5720000000000003E-5</v>
      </c>
      <c r="L50" s="42" t="s">
        <v>39</v>
      </c>
      <c r="M50" s="38" t="str">
        <f t="shared" si="6"/>
        <v>dP_P3</v>
      </c>
      <c r="N50" s="51">
        <f>_xll.PipeStraightCircularCrossSection_dP(D_P3,L_P3,Q_J4,rho,nu,2,e_P3,,,Cd,L50)</f>
        <v>625.76483154296875</v>
      </c>
      <c r="O50" s="37" t="s">
        <v>5</v>
      </c>
      <c r="P50" s="48" t="s">
        <v>316</v>
      </c>
      <c r="R50" s="23"/>
      <c r="W50" s="42" t="s">
        <v>138</v>
      </c>
      <c r="X50" s="38" t="str">
        <f t="shared" si="1"/>
        <v>P_n22</v>
      </c>
      <c r="Y50" s="65">
        <f xml:space="preserve"> P_n21 - dP_P18</f>
        <v>224524.22360704996</v>
      </c>
      <c r="Z50" s="37" t="s">
        <v>5</v>
      </c>
      <c r="AA50" s="48" t="s">
        <v>180</v>
      </c>
    </row>
    <row r="51" spans="2:27" ht="15.75" thickBot="1" x14ac:dyDescent="0.3">
      <c r="B51" s="42" t="s">
        <v>76</v>
      </c>
      <c r="C51" s="38" t="str">
        <f t="shared" si="2"/>
        <v>D_P17</v>
      </c>
      <c r="D51" s="33">
        <v>0.15405099999999999</v>
      </c>
      <c r="E51" s="38" t="str">
        <f t="shared" si="3"/>
        <v>L_P17</v>
      </c>
      <c r="F51" s="33">
        <v>5</v>
      </c>
      <c r="G51" s="38" t="str">
        <f t="shared" si="4"/>
        <v>e_P17</v>
      </c>
      <c r="H51" s="43">
        <v>4.5720000000000003E-5</v>
      </c>
      <c r="L51" s="42" t="s">
        <v>40</v>
      </c>
      <c r="M51" s="38" t="str">
        <f t="shared" si="6"/>
        <v>dP_P4</v>
      </c>
      <c r="N51" s="51">
        <f>_xll.PipeStraightCircularCrossSection_dP(D_P4,L_P4,Q_J4,rho,nu,2,e_P4,,,Cd,L51)</f>
        <v>312.88241577148438</v>
      </c>
      <c r="O51" s="37" t="s">
        <v>5</v>
      </c>
      <c r="P51" s="48" t="s">
        <v>317</v>
      </c>
      <c r="R51" s="23"/>
      <c r="W51" s="42" t="s">
        <v>139</v>
      </c>
      <c r="X51" s="38" t="str">
        <f t="shared" si="1"/>
        <v>P_n23</v>
      </c>
      <c r="Y51" s="65">
        <f xml:space="preserve"> P_n22 - dP_J16</f>
        <v>223731.09286974528</v>
      </c>
      <c r="Z51" s="37" t="s">
        <v>5</v>
      </c>
      <c r="AA51" s="48" t="s">
        <v>181</v>
      </c>
    </row>
    <row r="52" spans="2:27" ht="15.75" thickBot="1" x14ac:dyDescent="0.3">
      <c r="B52" s="42" t="s">
        <v>68</v>
      </c>
      <c r="C52" s="38" t="str">
        <f t="shared" si="2"/>
        <v>D_P18</v>
      </c>
      <c r="D52" s="33">
        <v>0.10226039999999999</v>
      </c>
      <c r="E52" s="38" t="str">
        <f t="shared" si="3"/>
        <v>L_P18</v>
      </c>
      <c r="F52" s="33">
        <v>1.5</v>
      </c>
      <c r="G52" s="38" t="str">
        <f t="shared" si="4"/>
        <v>e_P18</v>
      </c>
      <c r="H52" s="43">
        <v>4.5720000000000003E-5</v>
      </c>
      <c r="L52" s="42" t="s">
        <v>35</v>
      </c>
      <c r="M52" s="38" t="str">
        <f t="shared" si="6"/>
        <v>dP_P5</v>
      </c>
      <c r="N52" s="51">
        <f>_xll.PipeStraightCircularCrossSection_dP(D_P5,L_P5,Q_J4,rho,nu,2,e_P5,,,Cd,L52)</f>
        <v>208.58827209472656</v>
      </c>
      <c r="O52" s="37" t="s">
        <v>5</v>
      </c>
      <c r="P52" s="48" t="s">
        <v>318</v>
      </c>
      <c r="R52" s="23"/>
      <c r="W52" s="42" t="s">
        <v>140</v>
      </c>
      <c r="X52" s="38" t="str">
        <f t="shared" si="1"/>
        <v>P_n24</v>
      </c>
      <c r="Y52" s="65">
        <f xml:space="preserve"> P_n23 - dP_P19</f>
        <v>222341.99106310465</v>
      </c>
      <c r="Z52" s="37" t="s">
        <v>5</v>
      </c>
      <c r="AA52" s="48" t="s">
        <v>182</v>
      </c>
    </row>
    <row r="53" spans="2:27" ht="15.75" thickBot="1" x14ac:dyDescent="0.3">
      <c r="B53" s="42" t="s">
        <v>69</v>
      </c>
      <c r="C53" s="38" t="str">
        <f t="shared" si="2"/>
        <v>D_P19</v>
      </c>
      <c r="D53" s="33">
        <v>0.1022604</v>
      </c>
      <c r="E53" s="38" t="str">
        <f t="shared" si="3"/>
        <v>L_P19</v>
      </c>
      <c r="F53" s="33">
        <v>3</v>
      </c>
      <c r="G53" s="38" t="str">
        <f t="shared" si="4"/>
        <v>e_P19</v>
      </c>
      <c r="H53" s="43">
        <v>4.5720000000000003E-5</v>
      </c>
      <c r="L53" s="42" t="s">
        <v>41</v>
      </c>
      <c r="M53" s="38" t="str">
        <f t="shared" si="6"/>
        <v>dP_P6</v>
      </c>
      <c r="N53" s="51">
        <f>_xll.PipeStraightCircularCrossSection_dP(D_P6,L_P6,Q_P6,rho,nu,2,e_P6,,,Cd,L53)</f>
        <v>100.69775390625</v>
      </c>
      <c r="O53" s="37" t="s">
        <v>5</v>
      </c>
      <c r="P53" s="48" t="s">
        <v>319</v>
      </c>
      <c r="W53" s="42" t="s">
        <v>141</v>
      </c>
      <c r="X53" s="38" t="str">
        <f t="shared" si="1"/>
        <v>P_n25</v>
      </c>
      <c r="Y53" s="65">
        <f xml:space="preserve"> P_n24 - dP_J17</f>
        <v>198007.44809435465</v>
      </c>
      <c r="Z53" s="37" t="s">
        <v>5</v>
      </c>
      <c r="AA53" s="48" t="s">
        <v>183</v>
      </c>
    </row>
    <row r="54" spans="2:27" ht="15.75" thickBot="1" x14ac:dyDescent="0.3">
      <c r="B54" s="42" t="s">
        <v>70</v>
      </c>
      <c r="C54" s="38" t="str">
        <f t="shared" si="2"/>
        <v>D_P20</v>
      </c>
      <c r="D54" s="33">
        <v>0.10226039999999999</v>
      </c>
      <c r="E54" s="38" t="str">
        <f t="shared" si="3"/>
        <v>L_P20</v>
      </c>
      <c r="F54" s="33">
        <v>1.5</v>
      </c>
      <c r="G54" s="38" t="str">
        <f t="shared" si="4"/>
        <v>e_P20</v>
      </c>
      <c r="H54" s="43">
        <v>4.5720000000000003E-5</v>
      </c>
      <c r="L54" s="42" t="s">
        <v>42</v>
      </c>
      <c r="M54" s="38" t="str">
        <f t="shared" si="6"/>
        <v>dP_P7</v>
      </c>
      <c r="N54" s="51">
        <f>_xll.PipeStraightCircularCrossSection_dP(D_P7,L_P7,Q_J7,rho,nu,2,e_P7,,,Cd,L54)</f>
        <v>637.4908447265625</v>
      </c>
      <c r="O54" s="37" t="s">
        <v>5</v>
      </c>
      <c r="P54" s="48" t="s">
        <v>320</v>
      </c>
      <c r="W54" s="42" t="s">
        <v>142</v>
      </c>
      <c r="X54" s="38" t="str">
        <f t="shared" si="1"/>
        <v>P_n26</v>
      </c>
      <c r="Y54" s="65">
        <f xml:space="preserve"> P_n25 - dP_P20</f>
        <v>197312.89719103434</v>
      </c>
      <c r="Z54" s="37" t="s">
        <v>5</v>
      </c>
      <c r="AA54" s="48" t="s">
        <v>184</v>
      </c>
    </row>
    <row r="55" spans="2:27" ht="15.75" thickBot="1" x14ac:dyDescent="0.3">
      <c r="B55" s="42" t="s">
        <v>71</v>
      </c>
      <c r="C55" s="38" t="str">
        <f t="shared" si="2"/>
        <v>D_P21</v>
      </c>
      <c r="D55" s="33">
        <v>0.15405099999999999</v>
      </c>
      <c r="E55" s="38" t="str">
        <f t="shared" si="3"/>
        <v>L_P21</v>
      </c>
      <c r="F55" s="33">
        <v>5</v>
      </c>
      <c r="G55" s="38" t="str">
        <f t="shared" si="4"/>
        <v>e_P21</v>
      </c>
      <c r="H55" s="43">
        <v>4.5720000000000003E-5</v>
      </c>
      <c r="L55" s="42" t="s">
        <v>38</v>
      </c>
      <c r="M55" s="38" t="str">
        <f t="shared" si="6"/>
        <v>dP_P8</v>
      </c>
      <c r="N55" s="51">
        <f>_xll.PipeStraightCircularCrossSection_dP(D_P8,L_P8,Q_J7,rho,nu,2,e_P8,,,Cd,L55)</f>
        <v>318.74542236328125</v>
      </c>
      <c r="O55" s="37" t="s">
        <v>5</v>
      </c>
      <c r="P55" s="48" t="s">
        <v>321</v>
      </c>
      <c r="W55" s="42" t="s">
        <v>143</v>
      </c>
      <c r="X55" s="38" t="str">
        <f t="shared" si="1"/>
        <v>P_n27</v>
      </c>
      <c r="Y55" s="65">
        <f xml:space="preserve"> P_n26 - dP_J18</f>
        <v>134792.35422228434</v>
      </c>
      <c r="Z55" s="37" t="s">
        <v>5</v>
      </c>
      <c r="AA55" s="48" t="s">
        <v>185</v>
      </c>
    </row>
    <row r="56" spans="2:27" ht="15.75" thickBot="1" x14ac:dyDescent="0.3">
      <c r="B56" s="42" t="s">
        <v>72</v>
      </c>
      <c r="C56" s="38" t="str">
        <f t="shared" si="2"/>
        <v>D_P22</v>
      </c>
      <c r="D56" s="33">
        <v>0.10226039999999999</v>
      </c>
      <c r="E56" s="38" t="str">
        <f t="shared" si="3"/>
        <v>L_P22</v>
      </c>
      <c r="F56" s="33">
        <v>1.5</v>
      </c>
      <c r="G56" s="38" t="str">
        <f t="shared" si="4"/>
        <v>e_P22</v>
      </c>
      <c r="H56" s="43">
        <v>4.5720000000000003E-5</v>
      </c>
      <c r="L56" s="42" t="s">
        <v>36</v>
      </c>
      <c r="M56" s="38" t="str">
        <f t="shared" si="6"/>
        <v>dP_P9</v>
      </c>
      <c r="N56" s="51">
        <f>_xll.PipeStraightCircularCrossSection_dP(D_P9,L_P9,Q_P9,rho,nu,2,e_P9,,,Cd,L56)</f>
        <v>100.12677764892578</v>
      </c>
      <c r="O56" s="37" t="s">
        <v>5</v>
      </c>
      <c r="P56" s="48" t="s">
        <v>322</v>
      </c>
      <c r="W56" s="42" t="s">
        <v>144</v>
      </c>
      <c r="X56" s="38" t="str">
        <f t="shared" si="1"/>
        <v>P_n28</v>
      </c>
      <c r="Y56" s="65">
        <f xml:space="preserve"> P_n27 - dP_P21</f>
        <v>134504.10345934489</v>
      </c>
      <c r="Z56" s="37" t="s">
        <v>5</v>
      </c>
      <c r="AA56" s="48" t="s">
        <v>186</v>
      </c>
    </row>
    <row r="57" spans="2:27" ht="15.75" thickBot="1" x14ac:dyDescent="0.3">
      <c r="B57" s="42" t="s">
        <v>55</v>
      </c>
      <c r="C57" s="38" t="str">
        <f t="shared" si="2"/>
        <v>D_P23</v>
      </c>
      <c r="D57" s="33">
        <v>0.15405099999999999</v>
      </c>
      <c r="E57" s="38" t="str">
        <f t="shared" si="3"/>
        <v>L_P23</v>
      </c>
      <c r="F57" s="33">
        <v>9</v>
      </c>
      <c r="G57" s="38" t="str">
        <f t="shared" si="4"/>
        <v>e_P23</v>
      </c>
      <c r="H57" s="43">
        <v>4.5720000000000003E-5</v>
      </c>
      <c r="L57" s="42" t="s">
        <v>65</v>
      </c>
      <c r="M57" s="38" t="str">
        <f t="shared" si="6"/>
        <v>dP_P10</v>
      </c>
      <c r="N57" s="51">
        <f>_xll.PipeStraightCircularCrossSection_dP(D_P10,L_P10,Q_J10,rho,nu,2,e_P10,,,Cd,L57)</f>
        <v>210.98797607421875</v>
      </c>
      <c r="O57" s="37" t="s">
        <v>5</v>
      </c>
      <c r="P57" s="48" t="s">
        <v>323</v>
      </c>
      <c r="W57" s="42" t="s">
        <v>145</v>
      </c>
      <c r="X57" s="38" t="str">
        <f t="shared" si="1"/>
        <v>P_n29</v>
      </c>
      <c r="Y57" s="65">
        <f xml:space="preserve"> P_n28 - dP_J19</f>
        <v>133710.9727220402</v>
      </c>
      <c r="Z57" s="37" t="s">
        <v>5</v>
      </c>
      <c r="AA57" s="48" t="s">
        <v>187</v>
      </c>
    </row>
    <row r="58" spans="2:27" ht="15.75" thickBot="1" x14ac:dyDescent="0.3">
      <c r="B58" s="42" t="s">
        <v>73</v>
      </c>
      <c r="C58" s="38" t="str">
        <f t="shared" si="2"/>
        <v>D_P24</v>
      </c>
      <c r="D58" s="33">
        <v>0.15405099999999999</v>
      </c>
      <c r="E58" s="38" t="str">
        <f t="shared" si="3"/>
        <v>L_P24</v>
      </c>
      <c r="F58" s="33">
        <v>1.5</v>
      </c>
      <c r="G58" s="38" t="str">
        <f t="shared" si="4"/>
        <v>e_P24</v>
      </c>
      <c r="H58" s="43">
        <v>4.5720000000000003E-5</v>
      </c>
      <c r="L58" s="42" t="s">
        <v>66</v>
      </c>
      <c r="M58" s="38" t="str">
        <f t="shared" si="6"/>
        <v>dP_P11</v>
      </c>
      <c r="N58" s="51">
        <f>_xll.PipeStraightCircularCrossSection_dP(D_P11,L_P11,Q_J10,rho,nu,2,e_P11,,,Cd,L558)</f>
        <v>632.9638671875</v>
      </c>
      <c r="O58" s="37" t="s">
        <v>5</v>
      </c>
      <c r="P58" s="48" t="s">
        <v>324</v>
      </c>
      <c r="W58" s="42" t="s">
        <v>146</v>
      </c>
      <c r="X58" s="38" t="str">
        <f t="shared" si="1"/>
        <v>P_n30</v>
      </c>
      <c r="Y58" s="65">
        <f xml:space="preserve"> P_n29 - dP_P22</f>
        <v>133016.42181871989</v>
      </c>
      <c r="Z58" s="37" t="s">
        <v>5</v>
      </c>
      <c r="AA58" s="48" t="s">
        <v>188</v>
      </c>
    </row>
    <row r="59" spans="2:27" ht="15.75" thickBot="1" x14ac:dyDescent="0.3">
      <c r="L59" s="42" t="s">
        <v>67</v>
      </c>
      <c r="M59" s="38" t="str">
        <f t="shared" si="6"/>
        <v>dP_P12</v>
      </c>
      <c r="N59" s="51">
        <f>_xll.PipeStraightCircularCrossSection_dP(D_P12,L_P12,Q_J10,rho,nu,2,e_P12,,,Cd,L59)</f>
        <v>316.48193359375</v>
      </c>
      <c r="O59" s="37" t="s">
        <v>5</v>
      </c>
      <c r="P59" s="48" t="s">
        <v>325</v>
      </c>
      <c r="R59" s="29"/>
      <c r="W59" s="42" t="s">
        <v>147</v>
      </c>
      <c r="X59" s="38" t="str">
        <f t="shared" si="1"/>
        <v>P_n31</v>
      </c>
      <c r="Y59" s="65">
        <f xml:space="preserve"> P_n30 - dP_P23</f>
        <v>131038.3018236027</v>
      </c>
      <c r="Z59" s="37" t="s">
        <v>5</v>
      </c>
      <c r="AA59" s="48" t="s">
        <v>189</v>
      </c>
    </row>
    <row r="60" spans="2:27" ht="15.75" thickBot="1" x14ac:dyDescent="0.3">
      <c r="B60" s="32" t="s">
        <v>18</v>
      </c>
      <c r="L60" s="42" t="s">
        <v>52</v>
      </c>
      <c r="M60" s="38" t="str">
        <f t="shared" si="6"/>
        <v>dP_P13</v>
      </c>
      <c r="N60" s="51">
        <f>_xll.PipeStraightCircularCrossSection_dP(D_P13,L_P13,Q_P13,rho,nu,2,e_P13,,,Cd,L60)</f>
        <v>659.373291015625</v>
      </c>
      <c r="O60" s="37" t="s">
        <v>5</v>
      </c>
      <c r="P60" s="48" t="s">
        <v>326</v>
      </c>
      <c r="R60" s="29"/>
      <c r="W60" s="42" t="s">
        <v>148</v>
      </c>
      <c r="X60" s="38" t="str">
        <f t="shared" si="1"/>
        <v>P_n32</v>
      </c>
      <c r="Y60" s="65">
        <f xml:space="preserve"> P_n31 - dP_J21</f>
        <v>130484.16095446207</v>
      </c>
      <c r="Z60" s="37" t="s">
        <v>5</v>
      </c>
      <c r="AA60" s="48" t="s">
        <v>190</v>
      </c>
    </row>
    <row r="61" spans="2:27" ht="15.75" thickBot="1" x14ac:dyDescent="0.3">
      <c r="B61" s="42" t="s">
        <v>17</v>
      </c>
      <c r="C61" s="87" t="s">
        <v>82</v>
      </c>
      <c r="D61" s="87"/>
      <c r="E61" s="87" t="s">
        <v>108</v>
      </c>
      <c r="F61" s="87"/>
      <c r="G61" s="87" t="s">
        <v>109</v>
      </c>
      <c r="H61" s="87"/>
      <c r="I61" s="87" t="s">
        <v>84</v>
      </c>
      <c r="J61" s="87"/>
      <c r="L61" s="42" t="s">
        <v>62</v>
      </c>
      <c r="M61" s="38" t="str">
        <f t="shared" si="6"/>
        <v>dP_P14</v>
      </c>
      <c r="N61" s="51">
        <f>_xll.PipeStraightCircularCrossSection_dP(D_P14,L_P14,Q_P13,rho,nu,2,e_P14,,,Cd,L61)</f>
        <v>1978.1199951171875</v>
      </c>
      <c r="O61" s="37" t="s">
        <v>5</v>
      </c>
      <c r="P61" s="48" t="s">
        <v>327</v>
      </c>
      <c r="R61" s="29"/>
      <c r="W61" s="42" t="s">
        <v>149</v>
      </c>
      <c r="X61" s="38" t="str">
        <f t="shared" si="1"/>
        <v>P_n33</v>
      </c>
      <c r="Y61" s="65">
        <f xml:space="preserve"> P_n32 - dP_P24</f>
        <v>130154.47430895426</v>
      </c>
      <c r="Z61" s="37" t="s">
        <v>5</v>
      </c>
      <c r="AA61" s="48" t="s">
        <v>191</v>
      </c>
    </row>
    <row r="62" spans="2:27" ht="15.75" thickBot="1" x14ac:dyDescent="0.3">
      <c r="B62" s="42" t="s">
        <v>29</v>
      </c>
      <c r="C62" s="38" t="str">
        <f t="shared" ref="C62:C67" si="7">"D_"&amp;B62</f>
        <v>D_J5</v>
      </c>
      <c r="D62" s="33">
        <v>0.10226039999999999</v>
      </c>
      <c r="E62" s="38" t="str">
        <f t="shared" ref="E62:E67" si="8">"C_"&amp;B62</f>
        <v>C_J5</v>
      </c>
      <c r="F62" s="33">
        <f t="shared" ref="F62:F67" si="9">D62*1.5</f>
        <v>0.15339059999999999</v>
      </c>
      <c r="G62" s="38" t="str">
        <f t="shared" ref="G62:G67" si="10">"A_"&amp;B62</f>
        <v>A_J5</v>
      </c>
      <c r="H62" s="33">
        <v>90</v>
      </c>
      <c r="I62" s="38" t="str">
        <f t="shared" ref="I62:I67" si="11">"e_"&amp;B62</f>
        <v>e_J5</v>
      </c>
      <c r="J62" s="43">
        <v>4.5720000000000003E-5</v>
      </c>
      <c r="L62" s="42" t="s">
        <v>74</v>
      </c>
      <c r="M62" s="38" t="str">
        <f t="shared" si="6"/>
        <v>dP_P15</v>
      </c>
      <c r="N62" s="51">
        <f>_xll.PipeStraightCircularCrossSection_dP(D_P15,L_P15,Q_J14,rho,nu,2,e_P15,,,Cd,L62)</f>
        <v>1389.101806640625</v>
      </c>
      <c r="O62" s="37" t="s">
        <v>5</v>
      </c>
      <c r="P62" s="48" t="s">
        <v>328</v>
      </c>
      <c r="W62" s="42" t="s">
        <v>150</v>
      </c>
      <c r="X62" s="38" t="str">
        <f t="shared" si="1"/>
        <v>P_n34</v>
      </c>
      <c r="Y62" s="65">
        <f xml:space="preserve"> P_n21 - dP_P15</f>
        <v>223829.67270372965</v>
      </c>
      <c r="Z62" s="37" t="s">
        <v>5</v>
      </c>
      <c r="AA62" s="48" t="s">
        <v>192</v>
      </c>
    </row>
    <row r="63" spans="2:27" ht="15.75" thickBot="1" x14ac:dyDescent="0.3">
      <c r="B63" s="42" t="s">
        <v>33</v>
      </c>
      <c r="C63" s="38" t="str">
        <f t="shared" si="7"/>
        <v>D_J9</v>
      </c>
      <c r="D63" s="33">
        <v>0.15405099999999999</v>
      </c>
      <c r="E63" s="38" t="str">
        <f t="shared" si="8"/>
        <v>C_J9</v>
      </c>
      <c r="F63" s="33">
        <f t="shared" si="9"/>
        <v>0.23107649999999999</v>
      </c>
      <c r="G63" s="38" t="str">
        <f t="shared" si="10"/>
        <v>A_J9</v>
      </c>
      <c r="H63" s="33">
        <v>90</v>
      </c>
      <c r="I63" s="38" t="str">
        <f t="shared" si="11"/>
        <v>e_J9</v>
      </c>
      <c r="J63" s="43">
        <v>4.5720000000000003E-5</v>
      </c>
      <c r="L63" s="42" t="s">
        <v>75</v>
      </c>
      <c r="M63" s="38" t="str">
        <f t="shared" si="6"/>
        <v>dP_P16</v>
      </c>
      <c r="N63" s="51">
        <f>_xll.PipeStraightCircularCrossSection_dP(D_P16,L_P16,Q_J14,rho,nu,2,e_P16,,,Cd,L63)</f>
        <v>694.5509033203125</v>
      </c>
      <c r="O63" s="37" t="s">
        <v>5</v>
      </c>
      <c r="P63" s="48" t="s">
        <v>329</v>
      </c>
      <c r="W63" s="42" t="s">
        <v>151</v>
      </c>
      <c r="X63" s="38" t="str">
        <f t="shared" si="1"/>
        <v>P_n35</v>
      </c>
      <c r="Y63" s="65">
        <f xml:space="preserve"> P_n34 - dP_J14</f>
        <v>196519.76450060465</v>
      </c>
      <c r="Z63" s="37" t="s">
        <v>5</v>
      </c>
      <c r="AA63" s="48" t="s">
        <v>193</v>
      </c>
    </row>
    <row r="64" spans="2:27" ht="15.75" thickBot="1" x14ac:dyDescent="0.3">
      <c r="B64" s="42" t="s">
        <v>47</v>
      </c>
      <c r="C64" s="38" t="str">
        <f t="shared" si="7"/>
        <v>D_J12</v>
      </c>
      <c r="D64" s="33">
        <v>0.15405099999999999</v>
      </c>
      <c r="E64" s="38" t="str">
        <f t="shared" si="8"/>
        <v>C_J12</v>
      </c>
      <c r="F64" s="33">
        <f t="shared" si="9"/>
        <v>0.23107649999999999</v>
      </c>
      <c r="G64" s="38" t="str">
        <f t="shared" si="10"/>
        <v>A_J12</v>
      </c>
      <c r="H64" s="33">
        <v>90</v>
      </c>
      <c r="I64" s="38" t="str">
        <f t="shared" si="11"/>
        <v>e_J12</v>
      </c>
      <c r="J64" s="43">
        <v>4.5720000000000003E-5</v>
      </c>
      <c r="L64" s="42" t="s">
        <v>76</v>
      </c>
      <c r="M64" s="38" t="str">
        <f t="shared" si="6"/>
        <v>dP_P17</v>
      </c>
      <c r="N64" s="51">
        <f>_xll.PipeStraightCircularCrossSection_dP(D_P17,L_P17,Q_J14,rho,nu,2,e_P17,,,Cd,L64)</f>
        <v>288.25076293945313</v>
      </c>
      <c r="O64" s="37" t="s">
        <v>5</v>
      </c>
      <c r="P64" s="48" t="s">
        <v>330</v>
      </c>
      <c r="R64" s="29"/>
      <c r="W64" s="42" t="s">
        <v>152</v>
      </c>
      <c r="X64" s="38" t="str">
        <f t="shared" si="1"/>
        <v>P_n36</v>
      </c>
      <c r="Y64" s="65">
        <f xml:space="preserve"> P_n35 - dP_P16</f>
        <v>195825.21359728434</v>
      </c>
      <c r="Z64" s="37" t="s">
        <v>5</v>
      </c>
      <c r="AA64" s="48" t="s">
        <v>194</v>
      </c>
    </row>
    <row r="65" spans="2:27" ht="15.75" thickBot="1" x14ac:dyDescent="0.3">
      <c r="B65" s="42" t="s">
        <v>50</v>
      </c>
      <c r="C65" s="38" t="str">
        <f t="shared" si="7"/>
        <v>D_J16</v>
      </c>
      <c r="D65" s="33">
        <v>0.10226039999999999</v>
      </c>
      <c r="E65" s="38" t="str">
        <f t="shared" si="8"/>
        <v>C_J16</v>
      </c>
      <c r="F65" s="33">
        <f t="shared" si="9"/>
        <v>0.15339059999999999</v>
      </c>
      <c r="G65" s="38" t="str">
        <f t="shared" si="10"/>
        <v>A_J16</v>
      </c>
      <c r="H65" s="33">
        <v>90</v>
      </c>
      <c r="I65" s="38" t="str">
        <f t="shared" si="11"/>
        <v>e_J16</v>
      </c>
      <c r="J65" s="43">
        <v>4.5720000000000003E-5</v>
      </c>
      <c r="K65" s="16"/>
      <c r="L65" s="42" t="s">
        <v>68</v>
      </c>
      <c r="M65" s="38" t="str">
        <f t="shared" si="6"/>
        <v>dP_P18</v>
      </c>
      <c r="N65" s="51">
        <f>_xll.PipeStraightCircularCrossSection_dP(D_P18,L_P18,Q_J17,rho,nu,2,e_P18,,,Cd,L65)</f>
        <v>694.5509033203125</v>
      </c>
      <c r="O65" s="37" t="s">
        <v>5</v>
      </c>
      <c r="P65" s="48" t="s">
        <v>331</v>
      </c>
      <c r="W65" s="42" t="s">
        <v>153</v>
      </c>
      <c r="X65" s="38" t="str">
        <f t="shared" si="1"/>
        <v>P_n37</v>
      </c>
      <c r="Y65" s="65">
        <f xml:space="preserve"> P_n36 - dP_J15</f>
        <v>133304.67062853434</v>
      </c>
      <c r="Z65" s="37" t="s">
        <v>5</v>
      </c>
      <c r="AA65" s="48" t="s">
        <v>195</v>
      </c>
    </row>
    <row r="66" spans="2:27" ht="15.75" thickBot="1" x14ac:dyDescent="0.3">
      <c r="B66" s="42" t="s">
        <v>48</v>
      </c>
      <c r="C66" s="38" t="str">
        <f t="shared" si="7"/>
        <v>D_J19</v>
      </c>
      <c r="D66" s="33">
        <v>0.10226039999999999</v>
      </c>
      <c r="E66" s="38" t="str">
        <f t="shared" si="8"/>
        <v>C_J19</v>
      </c>
      <c r="F66" s="33">
        <f t="shared" si="9"/>
        <v>0.15339059999999999</v>
      </c>
      <c r="G66" s="38" t="str">
        <f t="shared" si="10"/>
        <v>A_J19</v>
      </c>
      <c r="H66" s="33">
        <v>90</v>
      </c>
      <c r="I66" s="38" t="str">
        <f t="shared" si="11"/>
        <v>e_J19</v>
      </c>
      <c r="J66" s="43">
        <v>4.5720000000000003E-5</v>
      </c>
      <c r="K66" s="16"/>
      <c r="L66" s="42" t="s">
        <v>69</v>
      </c>
      <c r="M66" s="38" t="str">
        <f t="shared" si="6"/>
        <v>dP_P19</v>
      </c>
      <c r="N66" s="51">
        <f>_xll.PipeStraightCircularCrossSection_dP(D_P19,L_P19,Q_J17,rho,nu,2,e_P19,,,Cd,L66)</f>
        <v>1389.101806640625</v>
      </c>
      <c r="O66" s="37" t="s">
        <v>5</v>
      </c>
      <c r="P66" s="48" t="s">
        <v>332</v>
      </c>
      <c r="W66" s="42" t="s">
        <v>154</v>
      </c>
      <c r="X66" s="38" t="str">
        <f t="shared" si="1"/>
        <v>P_n38</v>
      </c>
      <c r="Y66" s="65">
        <f xml:space="preserve"> P_n37 - dP_P17</f>
        <v>133016.41986559489</v>
      </c>
      <c r="Z66" s="37" t="s">
        <v>5</v>
      </c>
      <c r="AA66" s="48" t="s">
        <v>196</v>
      </c>
    </row>
    <row r="67" spans="2:27" ht="15.75" thickBot="1" x14ac:dyDescent="0.3">
      <c r="B67" s="42" t="s">
        <v>49</v>
      </c>
      <c r="C67" s="38" t="str">
        <f t="shared" si="7"/>
        <v>D_J21</v>
      </c>
      <c r="D67" s="33">
        <v>0.15405099999999999</v>
      </c>
      <c r="E67" s="38" t="str">
        <f t="shared" si="8"/>
        <v>C_J21</v>
      </c>
      <c r="F67" s="33">
        <f t="shared" si="9"/>
        <v>0.23107649999999999</v>
      </c>
      <c r="G67" s="38" t="str">
        <f t="shared" si="10"/>
        <v>A_J21</v>
      </c>
      <c r="H67" s="33">
        <v>90</v>
      </c>
      <c r="I67" s="38" t="str">
        <f t="shared" si="11"/>
        <v>e_J21</v>
      </c>
      <c r="J67" s="43">
        <v>4.5720000000000003E-5</v>
      </c>
      <c r="K67" s="16"/>
      <c r="L67" s="42" t="s">
        <v>70</v>
      </c>
      <c r="M67" s="38" t="str">
        <f t="shared" si="6"/>
        <v>dP_P20</v>
      </c>
      <c r="N67" s="51">
        <f>_xll.PipeStraightCircularCrossSection_dP(D_P20,L_P20,Q_J17,rho,nu,2,e_P20,,,Cd,L67)</f>
        <v>694.5509033203125</v>
      </c>
      <c r="O67" s="37" t="s">
        <v>5</v>
      </c>
      <c r="P67" s="48" t="s">
        <v>333</v>
      </c>
    </row>
    <row r="68" spans="2:27" ht="15.75" thickBot="1" x14ac:dyDescent="0.3">
      <c r="K68" s="16"/>
      <c r="L68" s="42" t="s">
        <v>71</v>
      </c>
      <c r="M68" s="38" t="str">
        <f t="shared" si="6"/>
        <v>dP_P21</v>
      </c>
      <c r="N68" s="51">
        <f>_xll.PipeStraightCircularCrossSection_dP(D_P21,L_P21,Q_J17,rho,nu,2,e_P21,,,Cd,L68)</f>
        <v>288.25076293945313</v>
      </c>
      <c r="O68" s="37" t="s">
        <v>5</v>
      </c>
      <c r="P68" s="48" t="s">
        <v>334</v>
      </c>
    </row>
    <row r="69" spans="2:27" ht="15.75" thickBot="1" x14ac:dyDescent="0.3">
      <c r="B69" s="32" t="s">
        <v>61</v>
      </c>
      <c r="K69" s="16"/>
      <c r="L69" s="42" t="s">
        <v>72</v>
      </c>
      <c r="M69" s="38" t="str">
        <f t="shared" si="6"/>
        <v>dP_P22</v>
      </c>
      <c r="N69" s="51">
        <f>_xll.PipeStraightCircularCrossSection_dP(D_P22,L_P22,Q_J17,rho,nu,2,e_P22,,,Cd,L69)</f>
        <v>694.5509033203125</v>
      </c>
      <c r="O69" s="37" t="s">
        <v>5</v>
      </c>
      <c r="P69" s="48" t="s">
        <v>335</v>
      </c>
      <c r="R69" s="29"/>
      <c r="W69" s="66"/>
      <c r="X69" s="66"/>
      <c r="Y69" s="66"/>
    </row>
    <row r="70" spans="2:27" ht="15.75" thickBot="1" x14ac:dyDescent="0.3">
      <c r="B70" s="42" t="s">
        <v>22</v>
      </c>
      <c r="C70" s="42" t="s">
        <v>23</v>
      </c>
      <c r="L70" s="42" t="s">
        <v>55</v>
      </c>
      <c r="M70" s="38" t="str">
        <f t="shared" si="6"/>
        <v>dP_P23</v>
      </c>
      <c r="N70" s="51">
        <f>_xll.PipeStraightCircularCrossSection_dP(D_P23,L_P23,Q_P23,rho,nu,2,e_P23,,,Cd,L70)</f>
        <v>1978.1199951171875</v>
      </c>
      <c r="O70" s="37" t="s">
        <v>5</v>
      </c>
      <c r="P70" s="48" t="s">
        <v>336</v>
      </c>
      <c r="R70" s="29"/>
    </row>
    <row r="71" spans="2:27" ht="15.75" thickBot="1" x14ac:dyDescent="0.3">
      <c r="B71" s="44" t="s">
        <v>0</v>
      </c>
      <c r="C71" s="44" t="s">
        <v>5</v>
      </c>
      <c r="L71" s="42" t="s">
        <v>73</v>
      </c>
      <c r="M71" s="38" t="str">
        <f t="shared" si="6"/>
        <v>dP_P24</v>
      </c>
      <c r="N71" s="51">
        <f>_xll.PipeStraightCircularCrossSection_dP(D_P24,L_P24,Q_P23,rho,nu,2,e_P24,,,Cd,L71)</f>
        <v>329.6866455078125</v>
      </c>
      <c r="O71" s="37" t="s">
        <v>5</v>
      </c>
      <c r="P71" s="48" t="s">
        <v>337</v>
      </c>
      <c r="R71" s="29"/>
    </row>
    <row r="72" spans="2:27" ht="15.75" thickBot="1" x14ac:dyDescent="0.3">
      <c r="B72" s="45">
        <v>0</v>
      </c>
      <c r="C72" s="46">
        <v>0</v>
      </c>
      <c r="L72" s="6"/>
      <c r="M72" s="7"/>
      <c r="N72" s="15"/>
      <c r="P72" s="48"/>
      <c r="R72" s="29"/>
    </row>
    <row r="73" spans="2:27" ht="15.75" thickBot="1" x14ac:dyDescent="0.3">
      <c r="B73" s="45">
        <v>5.0000000000000001E-3</v>
      </c>
      <c r="C73" s="46">
        <v>1246</v>
      </c>
      <c r="L73" s="49" t="s">
        <v>89</v>
      </c>
      <c r="M73" s="50"/>
      <c r="N73" s="50"/>
      <c r="P73" s="48"/>
      <c r="R73" s="29"/>
    </row>
    <row r="74" spans="2:27" ht="15.75" thickBot="1" x14ac:dyDescent="0.3">
      <c r="B74" s="45">
        <v>0.01</v>
      </c>
      <c r="C74" s="46">
        <v>12761</v>
      </c>
      <c r="L74" s="42" t="s">
        <v>29</v>
      </c>
      <c r="M74" s="38" t="str">
        <f t="shared" ref="M74:M79" si="12">"dP_"&amp;L74</f>
        <v>dP_J5</v>
      </c>
      <c r="N74" s="51">
        <f>_xll.BendSmoothCircularCrossSection_dP(D_J5,C_J5,A_J5,e_J5,Q_J4,rho,nu,1,,,Cd,L74)</f>
        <v>350.05328369140625</v>
      </c>
      <c r="O74" s="37" t="s">
        <v>5</v>
      </c>
      <c r="P74" s="48" t="s">
        <v>308</v>
      </c>
      <c r="R74" s="29"/>
    </row>
    <row r="75" spans="2:27" ht="15.75" thickBot="1" x14ac:dyDescent="0.3">
      <c r="B75" s="45">
        <v>1.4999999999999999E-2</v>
      </c>
      <c r="C75" s="46">
        <v>34545</v>
      </c>
      <c r="L75" s="42" t="s">
        <v>33</v>
      </c>
      <c r="M75" s="38" t="str">
        <f t="shared" si="12"/>
        <v>dP_J9</v>
      </c>
      <c r="N75" s="51">
        <f>_xll.BendSmoothCircularCrossSection_dP(D_J9,C_J9,A_J5,e_J9,Q_J10,rho,nu,1,,,Cd,L75)</f>
        <v>62.468387603759766</v>
      </c>
      <c r="O75" s="37" t="s">
        <v>5</v>
      </c>
      <c r="P75" s="48" t="s">
        <v>309</v>
      </c>
      <c r="R75" s="29"/>
    </row>
    <row r="76" spans="2:27" ht="15.75" thickBot="1" x14ac:dyDescent="0.3">
      <c r="B76" s="45">
        <v>0.02</v>
      </c>
      <c r="C76" s="46">
        <v>66596</v>
      </c>
      <c r="L76" s="42" t="s">
        <v>47</v>
      </c>
      <c r="M76" s="38" t="str">
        <f t="shared" si="12"/>
        <v>dP_J12</v>
      </c>
      <c r="N76" s="51">
        <f>_xll.BendSmoothCircularCrossSection_dP(D_J12,C_J12,A_J12,e_J5,Q_P13,rho,nu,1,,,Cd,L76)</f>
        <v>554.140869140625</v>
      </c>
      <c r="O76" s="37" t="s">
        <v>5</v>
      </c>
      <c r="P76" s="48" t="s">
        <v>310</v>
      </c>
      <c r="R76" s="29"/>
    </row>
    <row r="77" spans="2:27" ht="15.75" thickBot="1" x14ac:dyDescent="0.3">
      <c r="B77" s="45">
        <v>2.5000000000000001E-2</v>
      </c>
      <c r="C77" s="46">
        <v>108916</v>
      </c>
      <c r="L77" s="42" t="s">
        <v>50</v>
      </c>
      <c r="M77" s="38" t="str">
        <f t="shared" si="12"/>
        <v>dP_J16</v>
      </c>
      <c r="N77" s="51">
        <f>_xll.BendSmoothCircularCrossSection_dP(D_J16,C_J16,A_J16,e_J16,Q_J17,rho,nu,1,,,Cd,L77)</f>
        <v>793.1307373046875</v>
      </c>
      <c r="O77" s="37" t="s">
        <v>5</v>
      </c>
      <c r="P77" s="48" t="s">
        <v>311</v>
      </c>
      <c r="R77" s="29"/>
    </row>
    <row r="78" spans="2:27" ht="15.75" thickBot="1" x14ac:dyDescent="0.3">
      <c r="B78" s="45">
        <v>0.03</v>
      </c>
      <c r="C78" s="46">
        <v>161503</v>
      </c>
      <c r="L78" s="42" t="s">
        <v>48</v>
      </c>
      <c r="M78" s="38" t="str">
        <f t="shared" si="12"/>
        <v>dP_J19</v>
      </c>
      <c r="N78" s="51">
        <f>_xll.BendSmoothCircularCrossSection_dP(D_J19,C_J19,A_J19,e_J19,Q_J17,rho,nu,1,,,Cd,L78)</f>
        <v>793.1307373046875</v>
      </c>
      <c r="O78" s="37" t="s">
        <v>5</v>
      </c>
      <c r="P78" s="48" t="s">
        <v>312</v>
      </c>
      <c r="R78" s="29"/>
    </row>
    <row r="79" spans="2:27" ht="15.75" thickBot="1" x14ac:dyDescent="0.3">
      <c r="B79" s="45">
        <v>3.5000000000000003E-2</v>
      </c>
      <c r="C79" s="46">
        <v>224359</v>
      </c>
      <c r="L79" s="42" t="s">
        <v>49</v>
      </c>
      <c r="M79" s="38" t="str">
        <f t="shared" si="12"/>
        <v>dP_J21</v>
      </c>
      <c r="N79" s="51">
        <f>_xll.BendSmoothCircularCrossSection_dP(D_J21,C_J21,A_J21,e_J21,Q_P23,rho,nu,1,,,Cd,L79)</f>
        <v>554.140869140625</v>
      </c>
      <c r="O79" s="37" t="s">
        <v>5</v>
      </c>
      <c r="P79" s="48" t="s">
        <v>313</v>
      </c>
      <c r="R79" s="29"/>
    </row>
    <row r="80" spans="2:27" x14ac:dyDescent="0.25">
      <c r="P80" s="48"/>
      <c r="R80" s="29"/>
    </row>
    <row r="81" spans="2:18" ht="15.75" thickBot="1" x14ac:dyDescent="0.3">
      <c r="B81" s="32" t="s">
        <v>85</v>
      </c>
      <c r="L81" s="49" t="s">
        <v>85</v>
      </c>
      <c r="M81" s="50"/>
      <c r="N81" s="50"/>
      <c r="P81" s="48"/>
      <c r="R81" s="29"/>
    </row>
    <row r="82" spans="2:18" ht="15.75" thickBot="1" x14ac:dyDescent="0.3">
      <c r="B82" s="42" t="s">
        <v>22</v>
      </c>
      <c r="C82" s="42" t="s">
        <v>24</v>
      </c>
      <c r="L82" s="42" t="s">
        <v>25</v>
      </c>
      <c r="M82" s="38" t="str">
        <f t="shared" ref="M82:M84" si="13">"H_"&amp;L82</f>
        <v>H_J4</v>
      </c>
      <c r="N82" s="62">
        <f>_xll.SplineInterpolation(Q_J4,B84:B91,C84:C91,Cd)</f>
        <v>10.458967208862305</v>
      </c>
      <c r="O82" s="37" t="s">
        <v>92</v>
      </c>
      <c r="P82" s="48" t="s">
        <v>93</v>
      </c>
      <c r="R82" s="29"/>
    </row>
    <row r="83" spans="2:18" ht="15.75" thickBot="1" x14ac:dyDescent="0.3">
      <c r="B83" s="44" t="s">
        <v>0</v>
      </c>
      <c r="C83" s="44" t="s">
        <v>92</v>
      </c>
      <c r="L83" s="42" t="s">
        <v>26</v>
      </c>
      <c r="M83" s="38" t="str">
        <f t="shared" si="13"/>
        <v>H_J7</v>
      </c>
      <c r="N83" s="62">
        <f>_xll.SplineInterpolation(Q_J7,B84:B91,C84:C91,Cd)</f>
        <v>10.413143157958984</v>
      </c>
      <c r="O83" s="37" t="s">
        <v>92</v>
      </c>
      <c r="P83" s="48" t="s">
        <v>94</v>
      </c>
      <c r="R83" s="29"/>
    </row>
    <row r="84" spans="2:18" ht="15.75" thickBot="1" x14ac:dyDescent="0.3">
      <c r="B84" s="45">
        <v>0</v>
      </c>
      <c r="C84" s="47">
        <v>11.48</v>
      </c>
      <c r="L84" s="42" t="s">
        <v>51</v>
      </c>
      <c r="M84" s="38" t="str">
        <f t="shared" si="13"/>
        <v>H_J10</v>
      </c>
      <c r="N84" s="62">
        <f>_xll.SplineInterpolation(Q_J10,B84:B91,C84:C91,Cd)</f>
        <v>10.430870056152344</v>
      </c>
      <c r="O84" s="37" t="s">
        <v>92</v>
      </c>
      <c r="P84" s="48" t="s">
        <v>95</v>
      </c>
      <c r="R84" s="29"/>
    </row>
    <row r="85" spans="2:18" ht="15.75" thickBot="1" x14ac:dyDescent="0.3">
      <c r="B85" s="45">
        <v>2.5000000000000001E-3</v>
      </c>
      <c r="C85" s="47">
        <v>11.86</v>
      </c>
      <c r="R85" s="29"/>
    </row>
    <row r="86" spans="2:18" ht="15.75" thickBot="1" x14ac:dyDescent="0.3">
      <c r="B86" s="45">
        <v>5.0000000000000001E-3</v>
      </c>
      <c r="C86" s="47">
        <v>11.97</v>
      </c>
      <c r="L86" s="49" t="s">
        <v>115</v>
      </c>
      <c r="M86" s="50"/>
      <c r="N86" s="50"/>
      <c r="P86" s="48"/>
      <c r="R86" s="29"/>
    </row>
    <row r="87" spans="2:18" ht="15.75" thickBot="1" x14ac:dyDescent="0.3">
      <c r="B87" s="45">
        <v>7.4999999999999997E-3</v>
      </c>
      <c r="C87" s="47">
        <v>11.79</v>
      </c>
      <c r="L87" s="42" t="s">
        <v>25</v>
      </c>
      <c r="M87" s="38" t="str">
        <f t="shared" ref="M87:M89" si="14">"P_"&amp;L87</f>
        <v>P_J4</v>
      </c>
      <c r="N87" s="51">
        <f>_xll.PressureLoss_dH_Rho_g(H_J4,rho)</f>
        <v>100508.90625</v>
      </c>
      <c r="O87" s="37" t="s">
        <v>5</v>
      </c>
      <c r="P87" s="48" t="s">
        <v>205</v>
      </c>
      <c r="R87" s="29"/>
    </row>
    <row r="88" spans="2:18" ht="15.75" thickBot="1" x14ac:dyDescent="0.3">
      <c r="B88" s="45">
        <v>0.01</v>
      </c>
      <c r="C88" s="47">
        <v>11.33</v>
      </c>
      <c r="L88" s="42" t="s">
        <v>26</v>
      </c>
      <c r="M88" s="38" t="str">
        <f t="shared" si="14"/>
        <v>P_J7</v>
      </c>
      <c r="N88" s="51">
        <f>_xll.PressureLoss_dH_Rho_g(H_J7,rho)</f>
        <v>100068.5390625</v>
      </c>
      <c r="O88" s="37" t="s">
        <v>5</v>
      </c>
      <c r="P88" s="48" t="s">
        <v>206</v>
      </c>
      <c r="R88" s="29"/>
    </row>
    <row r="89" spans="2:18" ht="15.75" thickBot="1" x14ac:dyDescent="0.3">
      <c r="B89" s="45">
        <v>1.2500000000000001E-2</v>
      </c>
      <c r="C89" s="47">
        <v>10.6</v>
      </c>
      <c r="L89" s="42" t="s">
        <v>51</v>
      </c>
      <c r="M89" s="38" t="str">
        <f t="shared" si="14"/>
        <v>P_J10</v>
      </c>
      <c r="N89" s="51">
        <f>_xll.PressureLoss_dH_Rho_g(H_J10,rho)</f>
        <v>100238.890625</v>
      </c>
      <c r="O89" s="37" t="s">
        <v>5</v>
      </c>
      <c r="P89" s="48" t="s">
        <v>207</v>
      </c>
      <c r="R89" s="29"/>
    </row>
    <row r="90" spans="2:18" ht="15.75" thickBot="1" x14ac:dyDescent="0.3">
      <c r="B90" s="45">
        <v>1.4999999999999999E-2</v>
      </c>
      <c r="C90" s="47">
        <v>9.58</v>
      </c>
      <c r="P90" s="48"/>
      <c r="R90" s="29"/>
    </row>
    <row r="91" spans="2:18" ht="15.75" thickBot="1" x14ac:dyDescent="0.3">
      <c r="B91" s="45">
        <v>1.7500000000000002E-2</v>
      </c>
      <c r="C91" s="47">
        <v>8.2799999999999994</v>
      </c>
      <c r="L91" s="49" t="s">
        <v>116</v>
      </c>
      <c r="M91" s="50"/>
      <c r="N91" s="50"/>
      <c r="P91" s="48"/>
      <c r="R91" s="29"/>
    </row>
    <row r="92" spans="2:18" ht="15.75" thickBot="1" x14ac:dyDescent="0.3">
      <c r="L92" s="42" t="s">
        <v>31</v>
      </c>
      <c r="M92" s="38" t="str">
        <f t="shared" ref="M92" si="15">"P_"&amp;L92</f>
        <v>P_J1</v>
      </c>
      <c r="N92" s="51">
        <f>Ps_J1 + _xll.StaticPressure_H_Rho_g(H_J1,rho)</f>
        <v>130154.4921875</v>
      </c>
      <c r="O92" s="37" t="s">
        <v>5</v>
      </c>
      <c r="P92" s="48" t="s">
        <v>204</v>
      </c>
      <c r="R92" s="29"/>
    </row>
    <row r="93" spans="2:18" x14ac:dyDescent="0.25">
      <c r="R93" s="29"/>
    </row>
    <row r="94" spans="2:18" x14ac:dyDescent="0.25">
      <c r="R94" s="29"/>
    </row>
    <row r="95" spans="2:18" x14ac:dyDescent="0.25">
      <c r="R95" s="29"/>
    </row>
    <row r="96" spans="2:18" x14ac:dyDescent="0.25">
      <c r="R96" s="29"/>
    </row>
    <row r="97" spans="18:23" x14ac:dyDescent="0.25">
      <c r="R97" s="29"/>
    </row>
    <row r="98" spans="18:23" x14ac:dyDescent="0.25">
      <c r="R98" s="29"/>
    </row>
    <row r="99" spans="18:23" x14ac:dyDescent="0.25">
      <c r="R99" s="29"/>
    </row>
    <row r="100" spans="18:23" x14ac:dyDescent="0.25">
      <c r="R100" s="29"/>
    </row>
    <row r="101" spans="18:23" x14ac:dyDescent="0.25">
      <c r="R101" s="29"/>
    </row>
    <row r="102" spans="18:23" x14ac:dyDescent="0.25">
      <c r="R102" s="29"/>
    </row>
    <row r="103" spans="18:23" x14ac:dyDescent="0.25">
      <c r="R103" s="29"/>
    </row>
    <row r="104" spans="18:23" x14ac:dyDescent="0.25">
      <c r="R104" s="29"/>
    </row>
    <row r="105" spans="18:23" x14ac:dyDescent="0.25">
      <c r="R105" s="29"/>
    </row>
    <row r="106" spans="18:23" x14ac:dyDescent="0.25">
      <c r="R106" s="29"/>
    </row>
    <row r="108" spans="18:23" x14ac:dyDescent="0.25">
      <c r="W108" s="14"/>
    </row>
  </sheetData>
  <scenarios current="0">
    <scenario name="test1" count="4" user="François Corre" comment="Créé par François Corre le 1/12/2021">
      <inputCells r="AC74" val="0.00995492852133569" numFmtId="166"/>
      <inputCells r="AC75" val="0.0100427978746876" numFmtId="166"/>
      <inputCells r="AC76" val="9.00314998563354" numFmtId="170"/>
      <inputCells r="AC77" val="8.99669451440173" numFmtId="170"/>
    </scenario>
  </scenarios>
  <mergeCells count="10">
    <mergeCell ref="I61:J61"/>
    <mergeCell ref="G61:H61"/>
    <mergeCell ref="C34:D34"/>
    <mergeCell ref="E34:F34"/>
    <mergeCell ref="G34:H34"/>
    <mergeCell ref="C30:D30"/>
    <mergeCell ref="E30:F30"/>
    <mergeCell ref="G30:H30"/>
    <mergeCell ref="C61:D61"/>
    <mergeCell ref="E61:F61"/>
  </mergeCells>
  <phoneticPr fontId="6" type="noConversion"/>
  <hyperlinks>
    <hyperlink ref="B5" r:id="rId1" xr:uid="{AD33FD8B-0328-4627-91E2-28B1A148C8B2}"/>
  </hyperlinks>
  <pageMargins left="0.78740157480314965" right="0.23622047244094491" top="0.39370078740157483" bottom="0.39370078740157483" header="0.31496062992125984" footer="0.31496062992125984"/>
  <pageSetup paperSize="9" scale="38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versions xmlns="http://schemas.microsoft.com/SolverFoundationForExcel/Version">
  <addinversion>3.1</addinversion>
</versions>
</file>

<file path=customXml/item2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Props1.xml><?xml version="1.0" encoding="utf-8"?>
<ds:datastoreItem xmlns:ds="http://schemas.openxmlformats.org/officeDocument/2006/customXml" ds:itemID="{DD27B10D-F8E6-4D07-80F5-792F5DAB9EEB}">
  <ds:schemaRefs>
    <ds:schemaRef ds:uri="http://schemas.microsoft.com/SolverFoundationForExcel/Version"/>
  </ds:schemaRefs>
</ds:datastoreItem>
</file>

<file path=customXml/itemProps2.xml><?xml version="1.0" encoding="utf-8"?>
<ds:datastoreItem xmlns:ds="http://schemas.openxmlformats.org/officeDocument/2006/customXml" ds:itemID="{2D469B98-CC59-4642-B926-64EFF6CD3851}">
  <ds:schemaRefs>
    <ds:schemaRef ds:uri="http://schemas.microsoft.com/SolverFoundation/"/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194</vt:i4>
      </vt:variant>
    </vt:vector>
  </HeadingPairs>
  <TitlesOfParts>
    <vt:vector size="196" baseType="lpstr">
      <vt:lpstr>Readme</vt:lpstr>
      <vt:lpstr>System</vt:lpstr>
      <vt:lpstr>A_J12</vt:lpstr>
      <vt:lpstr>A_J16</vt:lpstr>
      <vt:lpstr>A_J19</vt:lpstr>
      <vt:lpstr>A_J21</vt:lpstr>
      <vt:lpstr>A_J5</vt:lpstr>
      <vt:lpstr>A_J9</vt:lpstr>
      <vt:lpstr>aa</vt:lpstr>
      <vt:lpstr>C_J12</vt:lpstr>
      <vt:lpstr>C_J16</vt:lpstr>
      <vt:lpstr>C_J19</vt:lpstr>
      <vt:lpstr>C_J21</vt:lpstr>
      <vt:lpstr>C_J5</vt:lpstr>
      <vt:lpstr>C_J9</vt:lpstr>
      <vt:lpstr>Cd</vt:lpstr>
      <vt:lpstr>D_J12</vt:lpstr>
      <vt:lpstr>D_J16</vt:lpstr>
      <vt:lpstr>D_J19</vt:lpstr>
      <vt:lpstr>D_J21</vt:lpstr>
      <vt:lpstr>D_J5</vt:lpstr>
      <vt:lpstr>D_J9</vt:lpstr>
      <vt:lpstr>D_P1</vt:lpstr>
      <vt:lpstr>D_P10</vt:lpstr>
      <vt:lpstr>D_P11</vt:lpstr>
      <vt:lpstr>D_P12</vt:lpstr>
      <vt:lpstr>D_P13</vt:lpstr>
      <vt:lpstr>D_P14</vt:lpstr>
      <vt:lpstr>D_P15</vt:lpstr>
      <vt:lpstr>D_P16</vt:lpstr>
      <vt:lpstr>D_P17</vt:lpstr>
      <vt:lpstr>D_P18</vt:lpstr>
      <vt:lpstr>D_P19</vt:lpstr>
      <vt:lpstr>D_P2</vt:lpstr>
      <vt:lpstr>D_P20</vt:lpstr>
      <vt:lpstr>D_P21</vt:lpstr>
      <vt:lpstr>D_P22</vt:lpstr>
      <vt:lpstr>D_P23</vt:lpstr>
      <vt:lpstr>D_P24</vt:lpstr>
      <vt:lpstr>D_P3</vt:lpstr>
      <vt:lpstr>D_P4</vt:lpstr>
      <vt:lpstr>D_P5</vt:lpstr>
      <vt:lpstr>D_P6</vt:lpstr>
      <vt:lpstr>D_P7</vt:lpstr>
      <vt:lpstr>D_P8</vt:lpstr>
      <vt:lpstr>D_P9</vt:lpstr>
      <vt:lpstr>dP_J12</vt:lpstr>
      <vt:lpstr>dP_J14</vt:lpstr>
      <vt:lpstr>dP_J15</vt:lpstr>
      <vt:lpstr>dP_J16</vt:lpstr>
      <vt:lpstr>dP_J17</vt:lpstr>
      <vt:lpstr>dP_J18</vt:lpstr>
      <vt:lpstr>dP_J19</vt:lpstr>
      <vt:lpstr>dP_J21</vt:lpstr>
      <vt:lpstr>dP_J5</vt:lpstr>
      <vt:lpstr>dP_J9</vt:lpstr>
      <vt:lpstr>dP_P1</vt:lpstr>
      <vt:lpstr>dP_P10</vt:lpstr>
      <vt:lpstr>dP_P11</vt:lpstr>
      <vt:lpstr>dP_P12</vt:lpstr>
      <vt:lpstr>dP_P13</vt:lpstr>
      <vt:lpstr>dP_P14</vt:lpstr>
      <vt:lpstr>dP_P15</vt:lpstr>
      <vt:lpstr>dP_P16</vt:lpstr>
      <vt:lpstr>dP_P17</vt:lpstr>
      <vt:lpstr>dP_P18</vt:lpstr>
      <vt:lpstr>dP_P19</vt:lpstr>
      <vt:lpstr>dP_P2</vt:lpstr>
      <vt:lpstr>dP_P20</vt:lpstr>
      <vt:lpstr>dP_P21</vt:lpstr>
      <vt:lpstr>dP_P22</vt:lpstr>
      <vt:lpstr>dP_P23</vt:lpstr>
      <vt:lpstr>dP_P24</vt:lpstr>
      <vt:lpstr>dP_P3</vt:lpstr>
      <vt:lpstr>dP_P4</vt:lpstr>
      <vt:lpstr>dP_P5</vt:lpstr>
      <vt:lpstr>dP_P6</vt:lpstr>
      <vt:lpstr>dP_P7</vt:lpstr>
      <vt:lpstr>dP_P8</vt:lpstr>
      <vt:lpstr>dP_P9</vt:lpstr>
      <vt:lpstr>e_J12</vt:lpstr>
      <vt:lpstr>e_J16</vt:lpstr>
      <vt:lpstr>e_J19</vt:lpstr>
      <vt:lpstr>e_J21</vt:lpstr>
      <vt:lpstr>e_J5</vt:lpstr>
      <vt:lpstr>e_J9</vt:lpstr>
      <vt:lpstr>e_P1</vt:lpstr>
      <vt:lpstr>e_P10</vt:lpstr>
      <vt:lpstr>e_P11</vt:lpstr>
      <vt:lpstr>e_P12</vt:lpstr>
      <vt:lpstr>e_P13</vt:lpstr>
      <vt:lpstr>e_P14</vt:lpstr>
      <vt:lpstr>e_P15</vt:lpstr>
      <vt:lpstr>e_P16</vt:lpstr>
      <vt:lpstr>e_P17</vt:lpstr>
      <vt:lpstr>e_P18</vt:lpstr>
      <vt:lpstr>e_P19</vt:lpstr>
      <vt:lpstr>e_P2</vt:lpstr>
      <vt:lpstr>e_P20</vt:lpstr>
      <vt:lpstr>e_P21</vt:lpstr>
      <vt:lpstr>e_P22</vt:lpstr>
      <vt:lpstr>e_P23</vt:lpstr>
      <vt:lpstr>e_P24</vt:lpstr>
      <vt:lpstr>e_P3</vt:lpstr>
      <vt:lpstr>e_P4</vt:lpstr>
      <vt:lpstr>e_P5</vt:lpstr>
      <vt:lpstr>e_P6</vt:lpstr>
      <vt:lpstr>e_P7</vt:lpstr>
      <vt:lpstr>e_P8</vt:lpstr>
      <vt:lpstr>e_P9</vt:lpstr>
      <vt:lpstr>H_J1</vt:lpstr>
      <vt:lpstr>H_J10</vt:lpstr>
      <vt:lpstr>H_J4</vt:lpstr>
      <vt:lpstr>H_J7</vt:lpstr>
      <vt:lpstr>K_J1</vt:lpstr>
      <vt:lpstr>K_J14</vt:lpstr>
      <vt:lpstr>K_J17</vt:lpstr>
      <vt:lpstr>L_P1</vt:lpstr>
      <vt:lpstr>L_P10</vt:lpstr>
      <vt:lpstr>L_P11</vt:lpstr>
      <vt:lpstr>L_P12</vt:lpstr>
      <vt:lpstr>L_P13</vt:lpstr>
      <vt:lpstr>L_P14</vt:lpstr>
      <vt:lpstr>L_P15</vt:lpstr>
      <vt:lpstr>L_P16</vt:lpstr>
      <vt:lpstr>L_P17</vt:lpstr>
      <vt:lpstr>L_P18</vt:lpstr>
      <vt:lpstr>L_P19</vt:lpstr>
      <vt:lpstr>L_P2</vt:lpstr>
      <vt:lpstr>L_P20</vt:lpstr>
      <vt:lpstr>L_P21</vt:lpstr>
      <vt:lpstr>L_P22</vt:lpstr>
      <vt:lpstr>L_P23</vt:lpstr>
      <vt:lpstr>L_P24</vt:lpstr>
      <vt:lpstr>L_P3</vt:lpstr>
      <vt:lpstr>L_P4</vt:lpstr>
      <vt:lpstr>L_P5</vt:lpstr>
      <vt:lpstr>L_P6</vt:lpstr>
      <vt:lpstr>L_P7</vt:lpstr>
      <vt:lpstr>L_P8</vt:lpstr>
      <vt:lpstr>L_P9</vt:lpstr>
      <vt:lpstr>nu</vt:lpstr>
      <vt:lpstr>P_J1</vt:lpstr>
      <vt:lpstr>P_J10</vt:lpstr>
      <vt:lpstr>P_J4</vt:lpstr>
      <vt:lpstr>P_J7</vt:lpstr>
      <vt:lpstr>P_n1</vt:lpstr>
      <vt:lpstr>P_n10</vt:lpstr>
      <vt:lpstr>P_n11</vt:lpstr>
      <vt:lpstr>P_n12</vt:lpstr>
      <vt:lpstr>P_n13</vt:lpstr>
      <vt:lpstr>P_n14</vt:lpstr>
      <vt:lpstr>P_n15</vt:lpstr>
      <vt:lpstr>P_n16</vt:lpstr>
      <vt:lpstr>P_n17</vt:lpstr>
      <vt:lpstr>P_n18</vt:lpstr>
      <vt:lpstr>P_n19</vt:lpstr>
      <vt:lpstr>P_n2</vt:lpstr>
      <vt:lpstr>P_n20</vt:lpstr>
      <vt:lpstr>P_n21</vt:lpstr>
      <vt:lpstr>P_n22</vt:lpstr>
      <vt:lpstr>P_n23</vt:lpstr>
      <vt:lpstr>P_n24</vt:lpstr>
      <vt:lpstr>P_n25</vt:lpstr>
      <vt:lpstr>P_n26</vt:lpstr>
      <vt:lpstr>P_n27</vt:lpstr>
      <vt:lpstr>P_n28</vt:lpstr>
      <vt:lpstr>P_n29</vt:lpstr>
      <vt:lpstr>P_n3</vt:lpstr>
      <vt:lpstr>P_n30</vt:lpstr>
      <vt:lpstr>P_n31</vt:lpstr>
      <vt:lpstr>P_n32</vt:lpstr>
      <vt:lpstr>P_n33</vt:lpstr>
      <vt:lpstr>P_n34</vt:lpstr>
      <vt:lpstr>P_n35</vt:lpstr>
      <vt:lpstr>P_n36</vt:lpstr>
      <vt:lpstr>P_n37</vt:lpstr>
      <vt:lpstr>P_n38</vt:lpstr>
      <vt:lpstr>P_n4</vt:lpstr>
      <vt:lpstr>P_n5</vt:lpstr>
      <vt:lpstr>P_n6</vt:lpstr>
      <vt:lpstr>P_n7</vt:lpstr>
      <vt:lpstr>P_n8</vt:lpstr>
      <vt:lpstr>P_n9</vt:lpstr>
      <vt:lpstr>Ps_J1</vt:lpstr>
      <vt:lpstr>Q_J10</vt:lpstr>
      <vt:lpstr>Q_J14</vt:lpstr>
      <vt:lpstr>Q_J17</vt:lpstr>
      <vt:lpstr>Q_J4</vt:lpstr>
      <vt:lpstr>Q_J7</vt:lpstr>
      <vt:lpstr>Q_P1</vt:lpstr>
      <vt:lpstr>Q_P13</vt:lpstr>
      <vt:lpstr>Q_P23</vt:lpstr>
      <vt:lpstr>Q_P6</vt:lpstr>
      <vt:lpstr>Q_P9</vt:lpstr>
      <vt:lpstr>rho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2021-06-05T16:36:01Z</cp:lastPrinted>
  <dcterms:created xsi:type="dcterms:W3CDTF">2015-06-05T18:19:34Z</dcterms:created>
  <dcterms:modified xsi:type="dcterms:W3CDTF">2022-05-12T16:27:51Z</dcterms:modified>
</cp:coreProperties>
</file>